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599" activeTab="6"/>
  </bookViews>
  <sheets>
    <sheet name="Sheet1" sheetId="35" r:id="rId1"/>
    <sheet name="12月  " sheetId="39" r:id="rId2"/>
    <sheet name="11月" sheetId="34" r:id="rId3"/>
    <sheet name="10月 " sheetId="33" r:id="rId4"/>
    <sheet name="9月" sheetId="32" r:id="rId5"/>
    <sheet name="8月 " sheetId="38" r:id="rId6"/>
    <sheet name="7月" sheetId="30" r:id="rId7"/>
    <sheet name="6月" sheetId="29" r:id="rId8"/>
    <sheet name="5月" sheetId="28" r:id="rId9"/>
    <sheet name="4月" sheetId="27" r:id="rId10"/>
    <sheet name="3月" sheetId="26" r:id="rId11"/>
    <sheet name="2月" sheetId="25" r:id="rId12"/>
    <sheet name="1月" sheetId="24" r:id="rId1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#4179  10号机回仓保鲜一级 ，提料D139和554。</t>
        </r>
      </text>
    </comment>
    <comment ref="C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10号机取消拿料
7-8晚上拿料：
1350-24包
D139-8包
131-2包
保鲜一级-6包</t>
        </r>
      </text>
    </comment>
    <comment ref="D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#回仓：
554:77包
D139:55包
配好料：
554-50%，D139-50%：722P
554-45%，D139-35%，保鲜-20%：
1197.1P</t>
        </r>
      </text>
    </comment>
    <comment ref="D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#4191  5号机取消</t>
        </r>
      </text>
    </comment>
    <comment ref="D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#4192  5号机取消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C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4145原料单：2号机卓桥0.1*75*122cm补料220.46磅（0474-1包，218W-3包）
4147原料单:
9号机拿来数改为53磅。</t>
        </r>
      </text>
    </comment>
    <comment ref="C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原料单4156 8号机互太0.01*54取消拿料</t>
        </r>
      </text>
    </comment>
    <comment ref="D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9号机万利回仓色种58182#  29磅</t>
        </r>
      </text>
    </comment>
    <comment ref="D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9号机回仓：
色种6135:10P
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8号机回仓A101：4包
       </t>
        </r>
      </text>
    </comment>
    <comment ref="C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5.11  2号机补料：
0474-15:P
21HS-35:P</t>
        </r>
      </text>
    </comment>
    <comment ref="C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2号机试料冲机用去23.8P保鲜一级。</t>
        </r>
      </text>
    </comment>
    <comment ref="C24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4133原料申请单7号机互太0.05*35*53回仓
131-10.5包
D139-3包
保鲜一级-80P</t>
        </r>
      </text>
    </comment>
    <comment ref="I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5月份有3卷互太0.01*40”废料
约300磅
</t>
        </r>
      </text>
    </comment>
    <comment ref="D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9号机回仓配好料住江互太81.6磅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D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2号机丽晶:
21HS:2包
保鲜一级:4包</t>
        </r>
      </text>
    </comment>
    <comment ref="D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2号机大班（颜色）：
0474:4包
21HS:8.5包</t>
        </r>
      </text>
    </comment>
    <comment ref="D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8号机互太：
1350:16包
A101:100磅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D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A101：1包</t>
        </r>
      </text>
    </comment>
  </commentList>
</comments>
</file>

<file path=xl/comments6.xml><?xml version="1.0" encoding="utf-8"?>
<comments xmlns="http://schemas.openxmlformats.org/spreadsheetml/2006/main">
  <authors>
    <author>Administrator</author>
  </authors>
  <commentList>
    <comment ref="C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2023.2.27
8号机补料：
6888-55.115P
保鲜一级-70P
D139-15P</t>
        </r>
      </text>
    </comment>
  </commentList>
</comments>
</file>

<file path=xl/sharedStrings.xml><?xml version="1.0" encoding="utf-8"?>
<sst xmlns="http://schemas.openxmlformats.org/spreadsheetml/2006/main" count="676" uniqueCount="139">
  <si>
    <t>每天用料記錄表　(12月份）</t>
  </si>
  <si>
    <r>
      <rPr>
        <b/>
        <sz val="14"/>
        <rFont val="Arial"/>
        <charset val="134"/>
      </rPr>
      <t>2023</t>
    </r>
    <r>
      <rPr>
        <b/>
        <sz val="14"/>
        <rFont val="細明體"/>
        <charset val="134"/>
      </rPr>
      <t>年</t>
    </r>
  </si>
  <si>
    <t>單位: 磅</t>
  </si>
  <si>
    <t>日期</t>
  </si>
  <si>
    <t>上日餘料</t>
  </si>
  <si>
    <t>當日提料</t>
  </si>
  <si>
    <t>回倉數</t>
  </si>
  <si>
    <t>地板料</t>
  </si>
  <si>
    <t xml:space="preserve">生產數 </t>
  </si>
  <si>
    <t>總耗料數</t>
  </si>
  <si>
    <t>餘料數</t>
  </si>
  <si>
    <t>機號</t>
  </si>
  <si>
    <r>
      <rPr>
        <sz val="12"/>
        <color theme="1"/>
        <rFont val="宋体"/>
        <charset val="136"/>
        <scheme val="minor"/>
      </rPr>
      <t xml:space="preserve"> </t>
    </r>
    <r>
      <rPr>
        <sz val="10"/>
        <rFont val="細明體"/>
        <charset val="136"/>
      </rPr>
      <t>存</t>
    </r>
    <r>
      <rPr>
        <sz val="12"/>
        <color theme="1"/>
        <rFont val="宋体"/>
        <charset val="136"/>
        <scheme val="minor"/>
      </rPr>
      <t>1</t>
    </r>
    <r>
      <rPr>
        <sz val="10"/>
        <rFont val="細明體"/>
        <charset val="136"/>
      </rPr>
      <t>樓餘料磅數</t>
    </r>
  </si>
  <si>
    <t>製袋部發現属於吹筒部廢料</t>
  </si>
  <si>
    <t>毛重</t>
  </si>
  <si>
    <t>紙筒</t>
  </si>
  <si>
    <t>淨重</t>
  </si>
  <si>
    <t>廢料</t>
  </si>
  <si>
    <t>原料袋及其他</t>
  </si>
  <si>
    <t>上月餘數</t>
  </si>
  <si>
    <t>ＴＯＭＡＮ</t>
  </si>
  <si>
    <r>
      <rPr>
        <b/>
        <sz val="10"/>
        <color rgb="FFFF0000"/>
        <rFont val="細明體"/>
        <charset val="136"/>
      </rPr>
      <t>ＴＯＳ</t>
    </r>
  </si>
  <si>
    <t>AOS</t>
  </si>
  <si>
    <t>ＡＰＤＱＴＹ</t>
  </si>
  <si>
    <t>％ＰＤＬＯＳＳ</t>
  </si>
  <si>
    <t>GＰＤＱＴＹ</t>
  </si>
  <si>
    <t>12月份餘料數 :</t>
  </si>
  <si>
    <t>/磅</t>
  </si>
  <si>
    <t>紅姐供餘料數:</t>
  </si>
  <si>
    <r>
      <rPr>
        <b/>
        <sz val="9"/>
        <color rgb="FFFF0000"/>
        <rFont val="Microsoft YaHei"/>
        <charset val="134"/>
      </rPr>
      <t>Ｔ</t>
    </r>
    <r>
      <rPr>
        <b/>
        <sz val="9"/>
        <color rgb="FFFF0000"/>
        <rFont val="Arial Black"/>
        <charset val="134"/>
      </rPr>
      <t>OMAN</t>
    </r>
  </si>
  <si>
    <t>生產天數</t>
  </si>
  <si>
    <t>ＴＯＳ</t>
  </si>
  <si>
    <t>總累計提料數/日</t>
  </si>
  <si>
    <t>ＡＯＳ</t>
  </si>
  <si>
    <t>扣除回倉提料數/日</t>
  </si>
  <si>
    <t>平均生產量/日</t>
  </si>
  <si>
    <t>提料與實際生產量誤差值/每日磅</t>
  </si>
  <si>
    <t>每7-10天報一次地板料</t>
  </si>
  <si>
    <t>計廢料平均生產量/日</t>
  </si>
  <si>
    <t>Difference</t>
  </si>
  <si>
    <t>總生產損耗</t>
  </si>
  <si>
    <t>每天用料記錄表　(11月份）</t>
  </si>
  <si>
    <t>11月份餘料數 :</t>
  </si>
  <si>
    <t>每天用料記錄表　(10月份）</t>
  </si>
  <si>
    <t>10月份餘料數 :</t>
  </si>
  <si>
    <t>每天用料記錄表　(9月份）</t>
  </si>
  <si>
    <t>9月份餘料數 :</t>
  </si>
  <si>
    <t>&lt;每月底需總結加起當月要地板料數&gt;</t>
  </si>
  <si>
    <t>每天用料記錄表　(8月份）</t>
  </si>
  <si>
    <t>8月份餘料數 :</t>
  </si>
  <si>
    <t>每天用料記錄表　(7月份）</t>
  </si>
  <si>
    <r>
      <rPr>
        <sz val="11"/>
        <color theme="1"/>
        <rFont val="宋体"/>
        <charset val="136"/>
        <scheme val="minor"/>
      </rPr>
      <t xml:space="preserve"> </t>
    </r>
    <r>
      <rPr>
        <sz val="11"/>
        <rFont val="細明體"/>
        <charset val="136"/>
      </rPr>
      <t>存</t>
    </r>
    <r>
      <rPr>
        <sz val="11"/>
        <color theme="1"/>
        <rFont val="宋体"/>
        <charset val="136"/>
        <scheme val="minor"/>
      </rPr>
      <t>1</t>
    </r>
    <r>
      <rPr>
        <sz val="11"/>
        <rFont val="細明體"/>
        <charset val="136"/>
      </rPr>
      <t>樓餘料磅數</t>
    </r>
  </si>
  <si>
    <t>原料袋／其他</t>
  </si>
  <si>
    <t>6</t>
  </si>
  <si>
    <t>2/6/10</t>
  </si>
  <si>
    <t>1/10</t>
  </si>
  <si>
    <t>1/2</t>
  </si>
  <si>
    <t>2/10</t>
  </si>
  <si>
    <t>4/9</t>
  </si>
  <si>
    <t>1/4/6/8</t>
  </si>
  <si>
    <t>4/6/7/8</t>
  </si>
  <si>
    <t>4/7/8/10</t>
  </si>
  <si>
    <t>4/8/10</t>
  </si>
  <si>
    <t>1/2/8/10</t>
  </si>
  <si>
    <t>2/5/8/9/10</t>
  </si>
  <si>
    <t>1/2/5</t>
  </si>
  <si>
    <t>2/4/5/9</t>
  </si>
  <si>
    <t>2/4/5//10</t>
  </si>
  <si>
    <t>7月份餘料數 :</t>
  </si>
  <si>
    <t>每天用料記錄表　(6月份）</t>
  </si>
  <si>
    <t>2/4</t>
  </si>
  <si>
    <t>1/2/9</t>
  </si>
  <si>
    <t>7/10</t>
  </si>
  <si>
    <t>7/8/10</t>
  </si>
  <si>
    <t>8/10</t>
  </si>
  <si>
    <t>1/2/6/7</t>
  </si>
  <si>
    <t>2/4/6/7</t>
  </si>
  <si>
    <t>2/4/6</t>
  </si>
  <si>
    <t>2/8</t>
  </si>
  <si>
    <t>1/2/5/8</t>
  </si>
  <si>
    <t>1/5/8</t>
  </si>
  <si>
    <t>5/8/10</t>
  </si>
  <si>
    <t>5/7/8/10</t>
  </si>
  <si>
    <t>1/4/7/8</t>
  </si>
  <si>
    <t>4/7/8/9</t>
  </si>
  <si>
    <t>2/8/10</t>
  </si>
  <si>
    <t>雅洁0.017*20"&amp;顺利0.02*12.75*19"一楼报表各写多一卷</t>
  </si>
  <si>
    <t>1/5/9</t>
  </si>
  <si>
    <t>6月份餘料數 :</t>
  </si>
  <si>
    <t>每天用料記錄表　(5月份）</t>
  </si>
  <si>
    <t>4/5</t>
  </si>
  <si>
    <t>5</t>
  </si>
  <si>
    <t>2/7/8/10</t>
  </si>
  <si>
    <t>1/7/8/10</t>
  </si>
  <si>
    <t>2/4/6/8/10</t>
  </si>
  <si>
    <t>8</t>
  </si>
  <si>
    <t>7/8</t>
  </si>
  <si>
    <t>2/7/8/9</t>
  </si>
  <si>
    <t>2/4/7</t>
  </si>
  <si>
    <t>1/4/10</t>
  </si>
  <si>
    <t>2/4/10</t>
  </si>
  <si>
    <t>1/2/10</t>
  </si>
  <si>
    <t>2/9</t>
  </si>
  <si>
    <t>4</t>
  </si>
  <si>
    <t>5月份餘料數 :</t>
  </si>
  <si>
    <t>每天用料記錄表　(4月份）</t>
  </si>
  <si>
    <t>1A</t>
  </si>
  <si>
    <t>1/2/8</t>
  </si>
  <si>
    <t>4/8/9</t>
  </si>
  <si>
    <t>2/4/8</t>
  </si>
  <si>
    <t>4/8</t>
  </si>
  <si>
    <t>4/7/10</t>
  </si>
  <si>
    <t>2/7/10</t>
  </si>
  <si>
    <t>2/7</t>
  </si>
  <si>
    <t>2/6/7</t>
  </si>
  <si>
    <t>4月份餘料數 :</t>
  </si>
  <si>
    <t>每天用料記錄表　(3月份）</t>
  </si>
  <si>
    <t>備註</t>
  </si>
  <si>
    <t>2</t>
  </si>
  <si>
    <t>10</t>
  </si>
  <si>
    <t>4/10</t>
  </si>
  <si>
    <t>1/2/6/8</t>
  </si>
  <si>
    <t>1/2/6/7/8</t>
  </si>
  <si>
    <t>2/9/10</t>
  </si>
  <si>
    <t>3月份餘料數 :</t>
  </si>
  <si>
    <t>s</t>
  </si>
  <si>
    <t>每天用料記錄表　(2月份）</t>
  </si>
  <si>
    <t>1/2/4/7/8</t>
  </si>
  <si>
    <t>2/4/6/7/8</t>
  </si>
  <si>
    <t>2/4/7/8</t>
  </si>
  <si>
    <t>1/6/10</t>
  </si>
  <si>
    <t>1/2/8/9</t>
  </si>
  <si>
    <t>2/7/8</t>
  </si>
  <si>
    <t>余料因互太3-2日需急出货，故此开多一张原料申请单。</t>
  </si>
  <si>
    <t>2月份餘料數 :</t>
  </si>
  <si>
    <t>每天用料記錄表　(1月份）</t>
  </si>
  <si>
    <t>2/6/7/8/10</t>
  </si>
  <si>
    <t>7</t>
  </si>
  <si>
    <t>1月份餘料數 :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</si>
</sst>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00_);[Red]\(#,##0.0000\)"/>
    <numFmt numFmtId="178" formatCode="0.0_);[Red]\(0.0\)"/>
    <numFmt numFmtId="179" formatCode="0.00_ "/>
    <numFmt numFmtId="180" formatCode="0.000%"/>
    <numFmt numFmtId="181" formatCode="0.000_ "/>
    <numFmt numFmtId="182" formatCode="0.0000_);[Red]\(0.0000\)"/>
    <numFmt numFmtId="183" formatCode="#,##0.0000_ "/>
  </numFmts>
  <fonts count="60">
    <font>
      <sz val="12"/>
      <color theme="1"/>
      <name val="宋体"/>
      <charset val="136"/>
      <scheme val="minor"/>
    </font>
    <font>
      <sz val="10"/>
      <name val="Arial"/>
      <charset val="134"/>
    </font>
    <font>
      <b/>
      <sz val="22"/>
      <name val="新細明體"/>
      <charset val="136"/>
    </font>
    <font>
      <b/>
      <sz val="14"/>
      <name val="Arial"/>
      <charset val="134"/>
    </font>
    <font>
      <sz val="10"/>
      <name val="細明體"/>
      <charset val="136"/>
    </font>
    <font>
      <b/>
      <sz val="12"/>
      <color theme="1"/>
      <name val="宋体"/>
      <charset val="136"/>
      <scheme val="minor"/>
    </font>
    <font>
      <sz val="9"/>
      <name val="Arial"/>
      <charset val="134"/>
    </font>
    <font>
      <sz val="12"/>
      <name val="新細明體"/>
      <charset val="136"/>
    </font>
    <font>
      <sz val="12"/>
      <name val="宋体"/>
      <charset val="136"/>
      <scheme val="minor"/>
    </font>
    <font>
      <sz val="8"/>
      <name val="Arial"/>
      <charset val="134"/>
    </font>
    <font>
      <sz val="7.5"/>
      <name val="Arial"/>
      <charset val="134"/>
    </font>
    <font>
      <b/>
      <sz val="10"/>
      <color rgb="FFFF0000"/>
      <name val="Microsoft YaHei"/>
      <charset val="134"/>
    </font>
    <font>
      <b/>
      <sz val="10"/>
      <color rgb="FFFF0000"/>
      <name val="細明體"/>
      <charset val="136"/>
    </font>
    <font>
      <b/>
      <sz val="10"/>
      <color rgb="FFFF0000"/>
      <name val="Arial Black"/>
      <charset val="134"/>
    </font>
    <font>
      <sz val="10"/>
      <color rgb="FFFF0000"/>
      <name val="Arial Black"/>
      <charset val="134"/>
    </font>
    <font>
      <b/>
      <sz val="9"/>
      <color rgb="FFFF0000"/>
      <name val="Arial Black"/>
      <charset val="134"/>
    </font>
    <font>
      <b/>
      <sz val="9"/>
      <color theme="1"/>
      <name val="宋体"/>
      <charset val="136"/>
      <scheme val="minor"/>
    </font>
    <font>
      <b/>
      <sz val="9"/>
      <color rgb="FFFF0000"/>
      <name val="Microsoft YaHei"/>
      <charset val="134"/>
    </font>
    <font>
      <b/>
      <sz val="10"/>
      <color rgb="FFFF0000"/>
      <name val="宋体"/>
      <charset val="136"/>
      <scheme val="minor"/>
    </font>
    <font>
      <sz val="12"/>
      <color rgb="FF00B050"/>
      <name val="宋体"/>
      <charset val="136"/>
      <scheme val="minor"/>
    </font>
    <font>
      <b/>
      <sz val="11"/>
      <color rgb="FFFF0000"/>
      <name val="宋体"/>
      <charset val="136"/>
      <scheme val="minor"/>
    </font>
    <font>
      <sz val="12"/>
      <color rgb="FFFF0000"/>
      <name val="宋体"/>
      <charset val="136"/>
      <scheme val="minor"/>
    </font>
    <font>
      <sz val="8"/>
      <name val="細明體"/>
      <charset val="136"/>
    </font>
    <font>
      <b/>
      <sz val="10"/>
      <name val="Arial"/>
      <charset val="134"/>
    </font>
    <font>
      <b/>
      <sz val="12"/>
      <color rgb="FFFF0000"/>
      <name val="宋体"/>
      <charset val="136"/>
      <scheme val="minor"/>
    </font>
    <font>
      <sz val="9"/>
      <color theme="1"/>
      <name val="宋体"/>
      <charset val="136"/>
      <scheme val="minor"/>
    </font>
    <font>
      <b/>
      <sz val="22"/>
      <color theme="1"/>
      <name val="新細明體"/>
      <charset val="136"/>
    </font>
    <font>
      <sz val="12"/>
      <color theme="1"/>
      <name val="宋体"/>
      <charset val="136"/>
      <scheme val="major"/>
    </font>
    <font>
      <b/>
      <sz val="10"/>
      <color rgb="FFFF0000"/>
      <name val="Arial"/>
      <charset val="134"/>
    </font>
    <font>
      <sz val="10"/>
      <color rgb="FFFF0000"/>
      <name val="Arial"/>
      <charset val="134"/>
    </font>
    <font>
      <sz val="11"/>
      <color theme="1"/>
      <name val="宋体"/>
      <charset val="136"/>
      <scheme val="minor"/>
    </font>
    <font>
      <sz val="10"/>
      <color theme="1"/>
      <name val="宋体"/>
      <charset val="136"/>
      <scheme val="minor"/>
    </font>
    <font>
      <sz val="10"/>
      <color rgb="FFFF0000"/>
      <name val="細明體"/>
      <charset val="136"/>
    </font>
    <font>
      <sz val="9"/>
      <color rgb="FFFF0000"/>
      <name val="宋体"/>
      <charset val="136"/>
      <scheme val="minor"/>
    </font>
    <font>
      <b/>
      <sz val="9"/>
      <name val="Arial"/>
      <charset val="134"/>
    </font>
    <font>
      <sz val="8"/>
      <color theme="1"/>
      <name val="宋体"/>
      <charset val="136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細明體"/>
      <charset val="134"/>
    </font>
    <font>
      <sz val="11"/>
      <name val="細明體"/>
      <charset val="136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10" borderId="54" applyNumberFormat="0" applyFon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55" applyNumberFormat="0" applyFill="0" applyAlignment="0" applyProtection="0">
      <alignment vertical="center"/>
    </xf>
    <xf numFmtId="0" fontId="48" fillId="0" borderId="55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3" fillId="0" borderId="56" applyNumberFormat="0" applyFill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9" fillId="14" borderId="57" applyNumberFormat="0" applyAlignment="0" applyProtection="0">
      <alignment vertical="center"/>
    </xf>
    <xf numFmtId="0" fontId="50" fillId="14" borderId="53" applyNumberFormat="0" applyAlignment="0" applyProtection="0">
      <alignment vertical="center"/>
    </xf>
    <xf numFmtId="0" fontId="51" fillId="15" borderId="58" applyNumberFormat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52" fillId="0" borderId="59" applyNumberFormat="0" applyFill="0" applyAlignment="0" applyProtection="0">
      <alignment vertical="center"/>
    </xf>
    <xf numFmtId="0" fontId="53" fillId="0" borderId="60" applyNumberFormat="0" applyFill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</cellStyleXfs>
  <cellXfs count="460">
    <xf numFmtId="0" fontId="0" fillId="0" borderId="0" xfId="0">
      <alignment vertical="center"/>
    </xf>
    <xf numFmtId="0" fontId="1" fillId="2" borderId="0" xfId="0" applyFont="1" applyFill="1" applyAlignment="1"/>
    <xf numFmtId="0" fontId="0" fillId="2" borderId="0" xfId="0" applyFill="1" applyAlignment="1"/>
    <xf numFmtId="177" fontId="0" fillId="2" borderId="0" xfId="0" applyNumberFormat="1" applyFill="1" applyAlignment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178" fontId="0" fillId="2" borderId="0" xfId="0" applyNumberFormat="1" applyFill="1" applyAlignme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0" fillId="2" borderId="3" xfId="0" applyNumberFormat="1" applyFill="1" applyBorder="1" applyAlignment="1">
      <alignment horizontal="center" vertical="center"/>
    </xf>
    <xf numFmtId="177" fontId="0" fillId="2" borderId="4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7" fontId="4" fillId="2" borderId="5" xfId="0" applyNumberFormat="1" applyFont="1" applyFill="1" applyBorder="1" applyAlignment="1">
      <alignment horizontal="center" vertical="center"/>
    </xf>
    <xf numFmtId="177" fontId="4" fillId="2" borderId="6" xfId="0" applyNumberFormat="1" applyFont="1" applyFill="1" applyBorder="1" applyAlignment="1">
      <alignment horizontal="center" vertical="center"/>
    </xf>
    <xf numFmtId="177" fontId="0" fillId="2" borderId="7" xfId="0" applyNumberFormat="1" applyFill="1" applyBorder="1" applyAlignment="1">
      <alignment horizontal="center" vertical="center"/>
    </xf>
    <xf numFmtId="177" fontId="0" fillId="2" borderId="8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77" fontId="5" fillId="3" borderId="9" xfId="0" applyNumberFormat="1" applyFont="1" applyFill="1" applyBorder="1" applyAlignment="1">
      <alignment horizontal="center"/>
    </xf>
    <xf numFmtId="177" fontId="0" fillId="2" borderId="10" xfId="0" applyNumberFormat="1" applyFill="1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177" fontId="0" fillId="2" borderId="11" xfId="0" applyNumberFormat="1" applyFill="1" applyBorder="1" applyAlignment="1">
      <alignment horizontal="center" vertical="center"/>
    </xf>
    <xf numFmtId="177" fontId="0" fillId="2" borderId="12" xfId="0" applyNumberFormat="1" applyFill="1" applyBorder="1" applyAlignment="1">
      <alignment horizontal="center" vertical="center"/>
    </xf>
    <xf numFmtId="14" fontId="6" fillId="2" borderId="13" xfId="0" applyNumberFormat="1" applyFont="1" applyFill="1" applyBorder="1" applyAlignment="1">
      <alignment horizontal="center" vertical="center"/>
    </xf>
    <xf numFmtId="177" fontId="7" fillId="2" borderId="13" xfId="0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77" fontId="0" fillId="2" borderId="14" xfId="0" applyNumberFormat="1" applyFill="1" applyBorder="1" applyAlignment="1">
      <alignment horizontal="center" vertical="center"/>
    </xf>
    <xf numFmtId="177" fontId="0" fillId="2" borderId="15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10" xfId="0" applyFill="1" applyBorder="1" applyAlignment="1"/>
    <xf numFmtId="0" fontId="0" fillId="2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77" fontId="0" fillId="2" borderId="17" xfId="0" applyNumberFormat="1" applyFill="1" applyBorder="1" applyAlignment="1">
      <alignment horizontal="center"/>
    </xf>
    <xf numFmtId="177" fontId="0" fillId="2" borderId="15" xfId="0" applyNumberFormat="1" applyFill="1" applyBorder="1" applyAlignment="1">
      <alignment horizontal="center"/>
    </xf>
    <xf numFmtId="0" fontId="0" fillId="0" borderId="16" xfId="0" applyFill="1" applyBorder="1" applyAlignment="1"/>
    <xf numFmtId="177" fontId="0" fillId="2" borderId="14" xfId="0" applyNumberForma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0" fillId="2" borderId="16" xfId="0" applyFill="1" applyBorder="1" applyAlignment="1"/>
    <xf numFmtId="177" fontId="0" fillId="2" borderId="16" xfId="0" applyNumberFormat="1" applyFill="1" applyBorder="1" applyAlignment="1">
      <alignment horizontal="center"/>
    </xf>
    <xf numFmtId="177" fontId="0" fillId="2" borderId="16" xfId="0" applyNumberFormat="1" applyFill="1" applyBorder="1" applyAlignment="1"/>
    <xf numFmtId="177" fontId="0" fillId="2" borderId="18" xfId="0" applyNumberFormat="1" applyFill="1" applyBorder="1" applyAlignment="1"/>
    <xf numFmtId="0" fontId="0" fillId="2" borderId="19" xfId="0" applyFill="1" applyBorder="1" applyAlignment="1">
      <alignment horizontal="center" vertical="center"/>
    </xf>
    <xf numFmtId="177" fontId="0" fillId="2" borderId="20" xfId="0" applyNumberFormat="1" applyFill="1" applyBorder="1" applyAlignment="1">
      <alignment horizontal="center" vertical="center"/>
    </xf>
    <xf numFmtId="177" fontId="0" fillId="2" borderId="21" xfId="0" applyNumberFormat="1" applyFill="1" applyBorder="1" applyAlignment="1"/>
    <xf numFmtId="176" fontId="6" fillId="2" borderId="21" xfId="0" applyNumberFormat="1" applyFont="1" applyFill="1" applyBorder="1" applyAlignment="1">
      <alignment horizontal="center"/>
    </xf>
    <xf numFmtId="179" fontId="6" fillId="2" borderId="20" xfId="0" applyNumberFormat="1" applyFont="1" applyFill="1" applyBorder="1" applyAlignment="1"/>
    <xf numFmtId="177" fontId="9" fillId="2" borderId="21" xfId="0" applyNumberFormat="1" applyFont="1" applyFill="1" applyBorder="1" applyAlignment="1"/>
    <xf numFmtId="177" fontId="10" fillId="2" borderId="21" xfId="0" applyNumberFormat="1" applyFont="1" applyFill="1" applyBorder="1" applyAlignment="1"/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77" fontId="4" fillId="2" borderId="0" xfId="0" applyNumberFormat="1" applyFont="1" applyFill="1" applyAlignment="1"/>
    <xf numFmtId="0" fontId="15" fillId="2" borderId="0" xfId="0" applyFont="1" applyFill="1" applyAlignment="1">
      <alignment horizontal="center"/>
    </xf>
    <xf numFmtId="177" fontId="16" fillId="2" borderId="1" xfId="0" applyNumberFormat="1" applyFont="1" applyFill="1" applyBorder="1" applyAlignment="1">
      <alignment horizontal="center"/>
    </xf>
    <xf numFmtId="38" fontId="0" fillId="2" borderId="0" xfId="0" applyNumberFormat="1" applyFill="1" applyAlignment="1">
      <alignment horizontal="center"/>
    </xf>
    <xf numFmtId="177" fontId="0" fillId="2" borderId="0" xfId="0" applyNumberFormat="1" applyFill="1" applyAlignment="1">
      <alignment horizontal="center"/>
    </xf>
    <xf numFmtId="0" fontId="17" fillId="2" borderId="0" xfId="0" applyFont="1" applyFill="1" applyAlignment="1">
      <alignment horizontal="center"/>
    </xf>
    <xf numFmtId="177" fontId="16" fillId="2" borderId="22" xfId="0" applyNumberFormat="1" applyFont="1" applyFill="1" applyBorder="1" applyAlignment="1">
      <alignment horizontal="center"/>
    </xf>
    <xf numFmtId="40" fontId="0" fillId="2" borderId="0" xfId="0" applyNumberFormat="1" applyFill="1" applyAlignment="1">
      <alignment horizontal="center"/>
    </xf>
    <xf numFmtId="177" fontId="18" fillId="2" borderId="0" xfId="0" applyNumberFormat="1" applyFont="1" applyFill="1" applyBorder="1" applyAlignment="1"/>
    <xf numFmtId="177" fontId="0" fillId="2" borderId="0" xfId="0" applyNumberFormat="1" applyFill="1" applyBorder="1" applyAlignment="1"/>
    <xf numFmtId="177" fontId="19" fillId="4" borderId="0" xfId="0" applyNumberFormat="1" applyFont="1" applyFill="1" applyAlignment="1"/>
    <xf numFmtId="0" fontId="11" fillId="2" borderId="19" xfId="0" applyFont="1" applyFill="1" applyBorder="1" applyAlignment="1">
      <alignment horizontal="center"/>
    </xf>
    <xf numFmtId="40" fontId="20" fillId="2" borderId="20" xfId="0" applyNumberFormat="1" applyFont="1" applyFill="1" applyBorder="1" applyAlignment="1">
      <alignment horizontal="center"/>
    </xf>
    <xf numFmtId="40" fontId="21" fillId="2" borderId="0" xfId="0" applyNumberFormat="1" applyFont="1" applyFill="1" applyBorder="1" applyAlignment="1">
      <alignment horizontal="center"/>
    </xf>
    <xf numFmtId="177" fontId="16" fillId="2" borderId="5" xfId="0" applyNumberFormat="1" applyFont="1" applyFill="1" applyBorder="1" applyAlignment="1">
      <alignment horizontal="center"/>
    </xf>
    <xf numFmtId="180" fontId="0" fillId="2" borderId="0" xfId="11" applyNumberFormat="1" applyFont="1" applyFill="1" applyAlignment="1">
      <alignment horizontal="center"/>
    </xf>
    <xf numFmtId="0" fontId="11" fillId="2" borderId="20" xfId="0" applyFont="1" applyFill="1" applyBorder="1" applyAlignment="1">
      <alignment horizontal="center"/>
    </xf>
    <xf numFmtId="10" fontId="21" fillId="2" borderId="23" xfId="11" applyNumberFormat="1" applyFont="1" applyFill="1" applyBorder="1" applyAlignment="1">
      <alignment horizontal="center"/>
    </xf>
    <xf numFmtId="177" fontId="0" fillId="2" borderId="24" xfId="0" applyNumberFormat="1" applyFill="1" applyBorder="1" applyAlignment="1">
      <alignment horizontal="center" vertical="center"/>
    </xf>
    <xf numFmtId="177" fontId="0" fillId="2" borderId="25" xfId="0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178" fontId="22" fillId="2" borderId="1" xfId="0" applyNumberFormat="1" applyFont="1" applyFill="1" applyBorder="1" applyAlignment="1">
      <alignment horizontal="center" vertical="center" wrapText="1"/>
    </xf>
    <xf numFmtId="177" fontId="0" fillId="2" borderId="26" xfId="0" applyNumberFormat="1" applyFill="1" applyBorder="1" applyAlignment="1">
      <alignment horizontal="center" vertical="center"/>
    </xf>
    <xf numFmtId="177" fontId="0" fillId="2" borderId="27" xfId="0" applyNumberFormat="1" applyFill="1" applyBorder="1" applyAlignment="1">
      <alignment horizontal="center" vertical="center"/>
    </xf>
    <xf numFmtId="177" fontId="0" fillId="2" borderId="28" xfId="0" applyNumberFormat="1" applyFill="1" applyBorder="1" applyAlignment="1">
      <alignment horizontal="center" vertical="center"/>
    </xf>
    <xf numFmtId="177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right" vertical="center"/>
    </xf>
    <xf numFmtId="178" fontId="22" fillId="2" borderId="22" xfId="0" applyNumberFormat="1" applyFont="1" applyFill="1" applyBorder="1" applyAlignment="1">
      <alignment horizontal="center" vertical="center" wrapText="1"/>
    </xf>
    <xf numFmtId="177" fontId="0" fillId="2" borderId="29" xfId="0" applyNumberFormat="1" applyFill="1" applyBorder="1" applyAlignment="1">
      <alignment horizontal="center" vertical="center"/>
    </xf>
    <xf numFmtId="177" fontId="0" fillId="2" borderId="30" xfId="0" applyNumberFormat="1" applyFill="1" applyBorder="1" applyAlignment="1">
      <alignment horizontal="center" vertical="center"/>
    </xf>
    <xf numFmtId="177" fontId="0" fillId="2" borderId="3" xfId="0" applyNumberFormat="1" applyFill="1" applyBorder="1" applyAlignment="1"/>
    <xf numFmtId="49" fontId="0" fillId="2" borderId="31" xfId="0" applyNumberFormat="1" applyFill="1" applyBorder="1" applyAlignment="1">
      <alignment horizontal="center"/>
    </xf>
    <xf numFmtId="181" fontId="0" fillId="2" borderId="13" xfId="0" applyNumberFormat="1" applyFill="1" applyBorder="1" applyAlignment="1">
      <alignment horizontal="right"/>
    </xf>
    <xf numFmtId="178" fontId="22" fillId="2" borderId="5" xfId="0" applyNumberFormat="1" applyFont="1" applyFill="1" applyBorder="1" applyAlignment="1">
      <alignment horizontal="center" vertical="center" wrapText="1"/>
    </xf>
    <xf numFmtId="177" fontId="0" fillId="2" borderId="32" xfId="0" applyNumberFormat="1" applyFill="1" applyBorder="1" applyAlignment="1">
      <alignment horizontal="center"/>
    </xf>
    <xf numFmtId="177" fontId="0" fillId="2" borderId="33" xfId="0" applyNumberFormat="1" applyFill="1" applyBorder="1" applyAlignment="1">
      <alignment horizontal="center"/>
    </xf>
    <xf numFmtId="177" fontId="0" fillId="2" borderId="34" xfId="0" applyNumberFormat="1" applyFill="1" applyBorder="1" applyAlignment="1"/>
    <xf numFmtId="177" fontId="0" fillId="2" borderId="35" xfId="0" applyNumberFormat="1" applyFill="1" applyBorder="1" applyAlignment="1"/>
    <xf numFmtId="49" fontId="0" fillId="2" borderId="36" xfId="0" applyNumberFormat="1" applyFill="1" applyBorder="1" applyAlignment="1">
      <alignment horizontal="center"/>
    </xf>
    <xf numFmtId="176" fontId="0" fillId="2" borderId="10" xfId="0" applyNumberFormat="1" applyFill="1" applyBorder="1" applyAlignment="1">
      <alignment horizontal="right"/>
    </xf>
    <xf numFmtId="178" fontId="22" fillId="2" borderId="9" xfId="0" applyNumberFormat="1" applyFont="1" applyFill="1" applyBorder="1" applyAlignment="1">
      <alignment horizontal="center" vertical="center" wrapText="1"/>
    </xf>
    <xf numFmtId="176" fontId="0" fillId="2" borderId="16" xfId="0" applyNumberFormat="1" applyFill="1" applyBorder="1" applyAlignment="1">
      <alignment horizontal="right"/>
    </xf>
    <xf numFmtId="178" fontId="0" fillId="2" borderId="13" xfId="0" applyNumberFormat="1" applyFill="1" applyBorder="1" applyAlignment="1"/>
    <xf numFmtId="178" fontId="0" fillId="2" borderId="37" xfId="0" applyNumberFormat="1" applyFill="1" applyBorder="1" applyAlignment="1"/>
    <xf numFmtId="177" fontId="0" fillId="2" borderId="38" xfId="0" applyNumberFormat="1" applyFill="1" applyBorder="1" applyAlignment="1">
      <alignment horizontal="center"/>
    </xf>
    <xf numFmtId="0" fontId="4" fillId="2" borderId="0" xfId="0" applyFont="1" applyFill="1" applyAlignment="1"/>
    <xf numFmtId="176" fontId="0" fillId="2" borderId="37" xfId="0" applyNumberFormat="1" applyFill="1" applyBorder="1" applyAlignment="1">
      <alignment horizontal="right"/>
    </xf>
    <xf numFmtId="178" fontId="1" fillId="2" borderId="37" xfId="0" applyNumberFormat="1" applyFont="1" applyFill="1" applyBorder="1" applyAlignment="1"/>
    <xf numFmtId="177" fontId="0" fillId="2" borderId="39" xfId="0" applyNumberFormat="1" applyFill="1" applyBorder="1" applyAlignment="1">
      <alignment horizontal="center"/>
    </xf>
    <xf numFmtId="49" fontId="0" fillId="2" borderId="40" xfId="0" applyNumberFormat="1" applyFill="1" applyBorder="1" applyAlignment="1">
      <alignment horizontal="center"/>
    </xf>
    <xf numFmtId="178" fontId="0" fillId="2" borderId="41" xfId="0" applyNumberFormat="1" applyFill="1" applyBorder="1" applyAlignment="1"/>
    <xf numFmtId="177" fontId="6" fillId="2" borderId="21" xfId="0" applyNumberFormat="1" applyFont="1" applyFill="1" applyBorder="1" applyAlignment="1"/>
    <xf numFmtId="177" fontId="23" fillId="2" borderId="20" xfId="0" applyNumberFormat="1" applyFont="1" applyFill="1" applyBorder="1" applyAlignment="1"/>
    <xf numFmtId="0" fontId="0" fillId="2" borderId="20" xfId="0" applyFill="1" applyBorder="1" applyAlignment="1">
      <alignment horizontal="right"/>
    </xf>
    <xf numFmtId="178" fontId="0" fillId="2" borderId="5" xfId="0" applyNumberFormat="1" applyFill="1" applyBorder="1" applyAlignment="1"/>
    <xf numFmtId="40" fontId="24" fillId="3" borderId="19" xfId="0" applyNumberFormat="1" applyFont="1" applyFill="1" applyBorder="1" applyAlignment="1"/>
    <xf numFmtId="40" fontId="24" fillId="3" borderId="42" xfId="0" applyNumberFormat="1" applyFont="1" applyFill="1" applyBorder="1" applyAlignment="1"/>
    <xf numFmtId="177" fontId="21" fillId="3" borderId="23" xfId="0" applyNumberFormat="1" applyFont="1" applyFill="1" applyBorder="1" applyAlignment="1"/>
    <xf numFmtId="177" fontId="0" fillId="0" borderId="0" xfId="0" applyNumberFormat="1" applyAlignment="1"/>
    <xf numFmtId="177" fontId="5" fillId="2" borderId="0" xfId="0" applyNumberFormat="1" applyFont="1" applyFill="1" applyAlignment="1">
      <alignment horizontal="left"/>
    </xf>
    <xf numFmtId="177" fontId="5" fillId="3" borderId="0" xfId="0" applyNumberFormat="1" applyFont="1" applyFill="1" applyAlignment="1">
      <alignment horizontal="left"/>
    </xf>
    <xf numFmtId="0" fontId="0" fillId="0" borderId="0" xfId="0" applyFill="1" applyAlignment="1"/>
    <xf numFmtId="0" fontId="1" fillId="0" borderId="0" xfId="0" applyFont="1" applyFill="1" applyAlignment="1"/>
    <xf numFmtId="177" fontId="0" fillId="0" borderId="0" xfId="0" applyNumberFormat="1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178" fontId="0" fillId="0" borderId="0" xfId="0" applyNumberFormat="1" applyFill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0" fillId="0" borderId="7" xfId="0" applyNumberFormat="1" applyFill="1" applyBorder="1" applyAlignment="1">
      <alignment horizontal="center" vertical="center"/>
    </xf>
    <xf numFmtId="177" fontId="0" fillId="0" borderId="8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82" fontId="7" fillId="0" borderId="13" xfId="0" applyNumberFormat="1" applyFont="1" applyFill="1" applyBorder="1" applyAlignment="1">
      <alignment horizontal="center" vertical="center"/>
    </xf>
    <xf numFmtId="177" fontId="0" fillId="0" borderId="10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177" fontId="0" fillId="0" borderId="11" xfId="0" applyNumberFormat="1" applyFill="1" applyBorder="1" applyAlignment="1">
      <alignment horizontal="center" vertical="center"/>
    </xf>
    <xf numFmtId="177" fontId="0" fillId="0" borderId="12" xfId="0" applyNumberFormat="1" applyFill="1" applyBorder="1" applyAlignment="1">
      <alignment horizontal="center" vertical="center"/>
    </xf>
    <xf numFmtId="14" fontId="6" fillId="0" borderId="13" xfId="0" applyNumberFormat="1" applyFont="1" applyFill="1" applyBorder="1" applyAlignment="1">
      <alignment horizontal="center" vertical="center"/>
    </xf>
    <xf numFmtId="177" fontId="7" fillId="0" borderId="13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77" fontId="0" fillId="0" borderId="14" xfId="0" applyNumberFormat="1" applyFill="1" applyBorder="1" applyAlignment="1">
      <alignment horizontal="center" vertical="center"/>
    </xf>
    <xf numFmtId="177" fontId="0" fillId="0" borderId="15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 applyAlignment="1"/>
    <xf numFmtId="177" fontId="0" fillId="0" borderId="17" xfId="0" applyNumberFormat="1" applyFill="1" applyBorder="1" applyAlignment="1">
      <alignment horizontal="center"/>
    </xf>
    <xf numFmtId="177" fontId="0" fillId="0" borderId="15" xfId="0" applyNumberFormat="1" applyFill="1" applyBorder="1" applyAlignment="1">
      <alignment horizontal="center"/>
    </xf>
    <xf numFmtId="177" fontId="0" fillId="0" borderId="16" xfId="0" applyNumberFormat="1" applyFill="1" applyBorder="1" applyAlignment="1">
      <alignment horizontal="center"/>
    </xf>
    <xf numFmtId="177" fontId="0" fillId="0" borderId="43" xfId="0" applyNumberFormat="1" applyFill="1" applyBorder="1" applyAlignment="1">
      <alignment horizontal="center"/>
    </xf>
    <xf numFmtId="0" fontId="0" fillId="0" borderId="44" xfId="0" applyFill="1" applyBorder="1" applyAlignment="1"/>
    <xf numFmtId="177" fontId="0" fillId="0" borderId="16" xfId="0" applyNumberFormat="1" applyFill="1" applyBorder="1" applyAlignment="1"/>
    <xf numFmtId="0" fontId="0" fillId="0" borderId="37" xfId="0" applyFill="1" applyBorder="1" applyAlignment="1"/>
    <xf numFmtId="177" fontId="0" fillId="0" borderId="45" xfId="0" applyNumberFormat="1" applyFill="1" applyBorder="1" applyAlignment="1"/>
    <xf numFmtId="177" fontId="0" fillId="0" borderId="45" xfId="0" applyNumberFormat="1" applyFill="1" applyBorder="1" applyAlignment="1">
      <alignment horizontal="center"/>
    </xf>
    <xf numFmtId="177" fontId="0" fillId="0" borderId="18" xfId="0" applyNumberFormat="1" applyFill="1" applyBorder="1" applyAlignment="1"/>
    <xf numFmtId="0" fontId="0" fillId="0" borderId="19" xfId="0" applyFill="1" applyBorder="1" applyAlignment="1">
      <alignment horizontal="center" vertical="center"/>
    </xf>
    <xf numFmtId="182" fontId="0" fillId="0" borderId="20" xfId="0" applyNumberFormat="1" applyFill="1" applyBorder="1" applyAlignment="1">
      <alignment horizontal="center" vertical="center"/>
    </xf>
    <xf numFmtId="177" fontId="0" fillId="0" borderId="21" xfId="0" applyNumberFormat="1" applyFill="1" applyBorder="1" applyAlignment="1"/>
    <xf numFmtId="176" fontId="6" fillId="0" borderId="21" xfId="0" applyNumberFormat="1" applyFont="1" applyFill="1" applyBorder="1" applyAlignment="1">
      <alignment horizontal="center"/>
    </xf>
    <xf numFmtId="179" fontId="6" fillId="0" borderId="20" xfId="0" applyNumberFormat="1" applyFont="1" applyFill="1" applyBorder="1" applyAlignment="1"/>
    <xf numFmtId="177" fontId="9" fillId="0" borderId="21" xfId="0" applyNumberFormat="1" applyFont="1" applyFill="1" applyBorder="1" applyAlignment="1"/>
    <xf numFmtId="177" fontId="10" fillId="0" borderId="21" xfId="0" applyNumberFormat="1" applyFont="1" applyFill="1" applyBorder="1" applyAlignment="1"/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4" fillId="0" borderId="0" xfId="0" applyFont="1" applyFill="1" applyAlignment="1"/>
    <xf numFmtId="0" fontId="15" fillId="0" borderId="0" xfId="0" applyFont="1" applyFill="1" applyAlignment="1">
      <alignment horizontal="center"/>
    </xf>
    <xf numFmtId="177" fontId="16" fillId="0" borderId="1" xfId="0" applyNumberFormat="1" applyFont="1" applyFill="1" applyBorder="1" applyAlignment="1">
      <alignment horizontal="center"/>
    </xf>
    <xf numFmtId="38" fontId="0" fillId="0" borderId="0" xfId="0" applyNumberFormat="1" applyFill="1" applyAlignment="1">
      <alignment horizontal="center"/>
    </xf>
    <xf numFmtId="177" fontId="0" fillId="0" borderId="0" xfId="0" applyNumberFormat="1" applyFill="1" applyAlignment="1">
      <alignment horizontal="center"/>
    </xf>
    <xf numFmtId="0" fontId="17" fillId="0" borderId="0" xfId="0" applyFont="1" applyFill="1" applyAlignment="1">
      <alignment horizontal="center"/>
    </xf>
    <xf numFmtId="177" fontId="16" fillId="0" borderId="22" xfId="0" applyNumberFormat="1" applyFont="1" applyFill="1" applyBorder="1" applyAlignment="1">
      <alignment horizontal="center"/>
    </xf>
    <xf numFmtId="40" fontId="0" fillId="0" borderId="0" xfId="0" applyNumberFormat="1" applyFill="1" applyAlignment="1">
      <alignment horizontal="center"/>
    </xf>
    <xf numFmtId="177" fontId="18" fillId="0" borderId="0" xfId="0" applyNumberFormat="1" applyFont="1" applyFill="1" applyBorder="1" applyAlignment="1"/>
    <xf numFmtId="177" fontId="0" fillId="0" borderId="0" xfId="0" applyNumberFormat="1" applyFill="1" applyBorder="1" applyAlignment="1"/>
    <xf numFmtId="177" fontId="19" fillId="0" borderId="0" xfId="0" applyNumberFormat="1" applyFont="1" applyFill="1" applyAlignment="1"/>
    <xf numFmtId="0" fontId="11" fillId="0" borderId="19" xfId="0" applyFont="1" applyFill="1" applyBorder="1" applyAlignment="1">
      <alignment horizontal="center"/>
    </xf>
    <xf numFmtId="40" fontId="20" fillId="0" borderId="20" xfId="0" applyNumberFormat="1" applyFont="1" applyFill="1" applyBorder="1" applyAlignment="1">
      <alignment horizontal="center"/>
    </xf>
    <xf numFmtId="40" fontId="21" fillId="0" borderId="0" xfId="0" applyNumberFormat="1" applyFont="1" applyFill="1" applyBorder="1" applyAlignment="1">
      <alignment horizontal="center"/>
    </xf>
    <xf numFmtId="177" fontId="16" fillId="0" borderId="5" xfId="0" applyNumberFormat="1" applyFont="1" applyFill="1" applyBorder="1" applyAlignment="1">
      <alignment horizontal="center"/>
    </xf>
    <xf numFmtId="180" fontId="0" fillId="0" borderId="0" xfId="11" applyNumberFormat="1" applyFont="1" applyFill="1" applyAlignment="1">
      <alignment horizontal="center"/>
    </xf>
    <xf numFmtId="0" fontId="11" fillId="0" borderId="20" xfId="0" applyFont="1" applyFill="1" applyBorder="1" applyAlignment="1">
      <alignment horizontal="center"/>
    </xf>
    <xf numFmtId="10" fontId="21" fillId="0" borderId="23" xfId="11" applyNumberFormat="1" applyFont="1" applyFill="1" applyBorder="1" applyAlignment="1">
      <alignment horizontal="center"/>
    </xf>
    <xf numFmtId="177" fontId="0" fillId="0" borderId="24" xfId="0" applyNumberFormat="1" applyFill="1" applyBorder="1" applyAlignment="1">
      <alignment horizontal="center" vertical="center"/>
    </xf>
    <xf numFmtId="177" fontId="0" fillId="0" borderId="25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7" fontId="0" fillId="0" borderId="26" xfId="0" applyNumberFormat="1" applyFill="1" applyBorder="1" applyAlignment="1">
      <alignment horizontal="center" vertical="center"/>
    </xf>
    <xf numFmtId="177" fontId="0" fillId="0" borderId="39" xfId="0" applyNumberFormat="1" applyFill="1" applyBorder="1" applyAlignment="1">
      <alignment horizontal="center" vertical="center"/>
    </xf>
    <xf numFmtId="177" fontId="0" fillId="0" borderId="28" xfId="0" applyNumberForma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right" vertical="center"/>
    </xf>
    <xf numFmtId="178" fontId="22" fillId="0" borderId="22" xfId="0" applyNumberFormat="1" applyFont="1" applyFill="1" applyBorder="1" applyAlignment="1">
      <alignment horizontal="center" vertical="center" wrapText="1"/>
    </xf>
    <xf numFmtId="177" fontId="0" fillId="0" borderId="29" xfId="0" applyNumberFormat="1" applyFill="1" applyBorder="1" applyAlignment="1">
      <alignment horizontal="center" vertical="center"/>
    </xf>
    <xf numFmtId="177" fontId="0" fillId="0" borderId="30" xfId="0" applyNumberFormat="1" applyFill="1" applyBorder="1" applyAlignment="1">
      <alignment horizontal="center" vertical="center"/>
    </xf>
    <xf numFmtId="177" fontId="0" fillId="0" borderId="3" xfId="0" applyNumberFormat="1" applyFill="1" applyBorder="1" applyAlignment="1"/>
    <xf numFmtId="177" fontId="0" fillId="0" borderId="31" xfId="0" applyNumberFormat="1" applyFill="1" applyBorder="1" applyAlignment="1">
      <alignment horizontal="center"/>
    </xf>
    <xf numFmtId="181" fontId="0" fillId="0" borderId="13" xfId="0" applyNumberFormat="1" applyFill="1" applyBorder="1" applyAlignment="1">
      <alignment horizontal="right"/>
    </xf>
    <xf numFmtId="178" fontId="22" fillId="0" borderId="5" xfId="0" applyNumberFormat="1" applyFont="1" applyFill="1" applyBorder="1" applyAlignment="1">
      <alignment horizontal="center" vertical="center" wrapText="1"/>
    </xf>
    <xf numFmtId="177" fontId="0" fillId="0" borderId="32" xfId="0" applyNumberFormat="1" applyFill="1" applyBorder="1" applyAlignment="1">
      <alignment horizontal="center"/>
    </xf>
    <xf numFmtId="177" fontId="0" fillId="0" borderId="33" xfId="0" applyNumberFormat="1" applyFill="1" applyBorder="1" applyAlignment="1">
      <alignment horizontal="center"/>
    </xf>
    <xf numFmtId="177" fontId="0" fillId="0" borderId="34" xfId="0" applyNumberFormat="1" applyFill="1" applyBorder="1" applyAlignment="1"/>
    <xf numFmtId="177" fontId="0" fillId="0" borderId="35" xfId="0" applyNumberFormat="1" applyFill="1" applyBorder="1" applyAlignment="1"/>
    <xf numFmtId="49" fontId="0" fillId="0" borderId="36" xfId="0" applyNumberFormat="1" applyFill="1" applyBorder="1" applyAlignment="1">
      <alignment horizontal="center"/>
    </xf>
    <xf numFmtId="176" fontId="0" fillId="0" borderId="10" xfId="0" applyNumberFormat="1" applyFill="1" applyBorder="1" applyAlignment="1">
      <alignment horizontal="right"/>
    </xf>
    <xf numFmtId="178" fontId="22" fillId="0" borderId="9" xfId="0" applyNumberFormat="1" applyFont="1" applyFill="1" applyBorder="1" applyAlignment="1">
      <alignment horizontal="center" vertical="center" wrapText="1"/>
    </xf>
    <xf numFmtId="176" fontId="0" fillId="0" borderId="16" xfId="0" applyNumberFormat="1" applyFill="1" applyBorder="1" applyAlignment="1">
      <alignment horizontal="right"/>
    </xf>
    <xf numFmtId="178" fontId="0" fillId="0" borderId="13" xfId="0" applyNumberFormat="1" applyFill="1" applyBorder="1" applyAlignment="1"/>
    <xf numFmtId="178" fontId="0" fillId="0" borderId="37" xfId="0" applyNumberFormat="1" applyFill="1" applyBorder="1" applyAlignment="1"/>
    <xf numFmtId="177" fontId="0" fillId="0" borderId="38" xfId="0" applyNumberFormat="1" applyFill="1" applyBorder="1" applyAlignment="1">
      <alignment horizontal="center"/>
    </xf>
    <xf numFmtId="177" fontId="0" fillId="0" borderId="34" xfId="0" applyNumberFormat="1" applyFill="1" applyBorder="1" applyAlignment="1">
      <alignment horizontal="right"/>
    </xf>
    <xf numFmtId="176" fontId="0" fillId="0" borderId="37" xfId="0" applyNumberFormat="1" applyFill="1" applyBorder="1" applyAlignment="1">
      <alignment horizontal="right"/>
    </xf>
    <xf numFmtId="177" fontId="21" fillId="0" borderId="35" xfId="0" applyNumberFormat="1" applyFont="1" applyFill="1" applyBorder="1" applyAlignment="1"/>
    <xf numFmtId="178" fontId="1" fillId="0" borderId="37" xfId="0" applyNumberFormat="1" applyFont="1" applyFill="1" applyBorder="1" applyAlignment="1"/>
    <xf numFmtId="177" fontId="0" fillId="0" borderId="39" xfId="0" applyNumberFormat="1" applyFill="1" applyBorder="1" applyAlignment="1">
      <alignment horizontal="center"/>
    </xf>
    <xf numFmtId="49" fontId="0" fillId="0" borderId="40" xfId="0" applyNumberFormat="1" applyFill="1" applyBorder="1" applyAlignment="1">
      <alignment horizontal="center"/>
    </xf>
    <xf numFmtId="178" fontId="0" fillId="0" borderId="41" xfId="0" applyNumberFormat="1" applyFill="1" applyBorder="1" applyAlignment="1"/>
    <xf numFmtId="177" fontId="6" fillId="0" borderId="21" xfId="0" applyNumberFormat="1" applyFont="1" applyFill="1" applyBorder="1" applyAlignment="1"/>
    <xf numFmtId="177" fontId="23" fillId="0" borderId="20" xfId="0" applyNumberFormat="1" applyFont="1" applyFill="1" applyBorder="1" applyAlignment="1"/>
    <xf numFmtId="0" fontId="0" fillId="0" borderId="20" xfId="0" applyFill="1" applyBorder="1" applyAlignment="1">
      <alignment horizontal="right"/>
    </xf>
    <xf numFmtId="178" fontId="0" fillId="0" borderId="5" xfId="0" applyNumberFormat="1" applyFill="1" applyBorder="1" applyAlignment="1"/>
    <xf numFmtId="40" fontId="24" fillId="0" borderId="38" xfId="0" applyNumberFormat="1" applyFont="1" applyFill="1" applyBorder="1" applyAlignment="1"/>
    <xf numFmtId="40" fontId="24" fillId="0" borderId="46" xfId="0" applyNumberFormat="1" applyFont="1" applyFill="1" applyBorder="1" applyAlignment="1"/>
    <xf numFmtId="177" fontId="21" fillId="0" borderId="45" xfId="0" applyNumberFormat="1" applyFont="1" applyFill="1" applyBorder="1" applyAlignment="1"/>
    <xf numFmtId="177" fontId="5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177" fontId="5" fillId="0" borderId="0" xfId="0" applyNumberFormat="1" applyFont="1" applyFill="1" applyAlignment="1">
      <alignment horizontal="left"/>
    </xf>
    <xf numFmtId="177" fontId="0" fillId="2" borderId="0" xfId="0" applyNumberFormat="1" applyFill="1" applyAlignment="1">
      <alignment horizontal="right"/>
    </xf>
    <xf numFmtId="177" fontId="2" fillId="2" borderId="0" xfId="0" applyNumberFormat="1" applyFont="1" applyFill="1" applyAlignment="1">
      <alignment horizontal="center" vertical="center"/>
    </xf>
    <xf numFmtId="177" fontId="3" fillId="2" borderId="0" xfId="0" applyNumberFormat="1" applyFont="1" applyFill="1" applyAlignment="1">
      <alignment horizontal="center"/>
    </xf>
    <xf numFmtId="177" fontId="0" fillId="2" borderId="9" xfId="0" applyNumberFormat="1" applyFill="1" applyBorder="1" applyAlignment="1">
      <alignment horizontal="center" vertical="center"/>
    </xf>
    <xf numFmtId="177" fontId="0" fillId="0" borderId="10" xfId="0" applyNumberFormat="1" applyFill="1" applyBorder="1" applyAlignment="1">
      <alignment horizontal="center" vertical="center"/>
    </xf>
    <xf numFmtId="177" fontId="0" fillId="0" borderId="10" xfId="0" applyNumberFormat="1" applyFill="1" applyBorder="1" applyAlignment="1">
      <alignment horizontal="center"/>
    </xf>
    <xf numFmtId="177" fontId="0" fillId="0" borderId="10" xfId="0" applyNumberFormat="1" applyFill="1" applyBorder="1" applyAlignment="1"/>
    <xf numFmtId="177" fontId="0" fillId="4" borderId="16" xfId="0" applyNumberFormat="1" applyFill="1" applyBorder="1" applyAlignment="1"/>
    <xf numFmtId="177" fontId="8" fillId="0" borderId="16" xfId="0" applyNumberFormat="1" applyFont="1" applyFill="1" applyBorder="1" applyAlignment="1"/>
    <xf numFmtId="177" fontId="0" fillId="2" borderId="10" xfId="0" applyNumberFormat="1" applyFill="1" applyBorder="1" applyAlignment="1">
      <alignment horizontal="center" vertical="center"/>
    </xf>
    <xf numFmtId="177" fontId="0" fillId="2" borderId="19" xfId="0" applyNumberFormat="1" applyFill="1" applyBorder="1" applyAlignment="1">
      <alignment horizontal="center" vertical="center"/>
    </xf>
    <xf numFmtId="177" fontId="6" fillId="2" borderId="21" xfId="0" applyNumberFormat="1" applyFont="1" applyFill="1" applyBorder="1" applyAlignment="1">
      <alignment horizontal="center"/>
    </xf>
    <xf numFmtId="177" fontId="6" fillId="2" borderId="20" xfId="0" applyNumberFormat="1" applyFont="1" applyFill="1" applyBorder="1" applyAlignment="1"/>
    <xf numFmtId="177" fontId="0" fillId="2" borderId="1" xfId="0" applyNumberFormat="1" applyFill="1" applyBorder="1" applyAlignment="1">
      <alignment horizontal="right" vertical="center"/>
    </xf>
    <xf numFmtId="177" fontId="22" fillId="2" borderId="1" xfId="0" applyNumberFormat="1" applyFont="1" applyFill="1" applyBorder="1" applyAlignment="1">
      <alignment horizontal="center" vertical="center" wrapText="1"/>
    </xf>
    <xf numFmtId="177" fontId="0" fillId="2" borderId="5" xfId="0" applyNumberFormat="1" applyFill="1" applyBorder="1" applyAlignment="1">
      <alignment horizontal="right" vertical="center"/>
    </xf>
    <xf numFmtId="177" fontId="22" fillId="2" borderId="5" xfId="0" applyNumberFormat="1" applyFont="1" applyFill="1" applyBorder="1" applyAlignment="1">
      <alignment horizontal="center" vertical="center" wrapText="1"/>
    </xf>
    <xf numFmtId="177" fontId="7" fillId="2" borderId="10" xfId="0" applyNumberFormat="1" applyFont="1" applyFill="1" applyBorder="1" applyAlignment="1">
      <alignment horizontal="center" vertical="center"/>
    </xf>
    <xf numFmtId="49" fontId="7" fillId="2" borderId="31" xfId="0" applyNumberFormat="1" applyFont="1" applyFill="1" applyBorder="1" applyAlignment="1">
      <alignment horizontal="center" vertical="center"/>
    </xf>
    <xf numFmtId="177" fontId="0" fillId="2" borderId="13" xfId="0" applyNumberFormat="1" applyFill="1" applyBorder="1" applyAlignment="1">
      <alignment horizontal="right"/>
    </xf>
    <xf numFmtId="0" fontId="0" fillId="0" borderId="3" xfId="0" applyBorder="1" applyAlignment="1">
      <alignment vertical="center"/>
    </xf>
    <xf numFmtId="0" fontId="0" fillId="2" borderId="9" xfId="0" applyFill="1" applyBorder="1" applyAlignment="1"/>
    <xf numFmtId="177" fontId="0" fillId="2" borderId="10" xfId="0" applyNumberFormat="1" applyFill="1" applyBorder="1" applyAlignment="1">
      <alignment horizontal="right"/>
    </xf>
    <xf numFmtId="177" fontId="22" fillId="2" borderId="10" xfId="0" applyNumberFormat="1" applyFont="1" applyFill="1" applyBorder="1" applyAlignment="1">
      <alignment horizontal="center" vertical="center" wrapText="1"/>
    </xf>
    <xf numFmtId="0" fontId="0" fillId="2" borderId="37" xfId="0" applyFill="1" applyBorder="1" applyAlignment="1"/>
    <xf numFmtId="177" fontId="0" fillId="2" borderId="16" xfId="0" applyNumberFormat="1" applyFill="1" applyBorder="1" applyAlignment="1">
      <alignment horizontal="right"/>
    </xf>
    <xf numFmtId="177" fontId="0" fillId="2" borderId="10" xfId="0" applyNumberFormat="1" applyFill="1" applyBorder="1" applyAlignment="1"/>
    <xf numFmtId="0" fontId="4" fillId="2" borderId="37" xfId="0" applyFont="1" applyFill="1" applyBorder="1" applyAlignment="1"/>
    <xf numFmtId="177" fontId="0" fillId="2" borderId="37" xfId="0" applyNumberFormat="1" applyFill="1" applyBorder="1" applyAlignment="1">
      <alignment horizontal="right"/>
    </xf>
    <xf numFmtId="0" fontId="25" fillId="2" borderId="37" xfId="0" applyFont="1" applyFill="1" applyBorder="1" applyAlignment="1"/>
    <xf numFmtId="177" fontId="1" fillId="2" borderId="16" xfId="0" applyNumberFormat="1" applyFont="1" applyFill="1" applyBorder="1" applyAlignment="1"/>
    <xf numFmtId="0" fontId="1" fillId="2" borderId="37" xfId="0" applyFont="1" applyFill="1" applyBorder="1" applyAlignment="1"/>
    <xf numFmtId="177" fontId="0" fillId="2" borderId="47" xfId="0" applyNumberFormat="1" applyFill="1" applyBorder="1" applyAlignment="1"/>
    <xf numFmtId="0" fontId="0" fillId="2" borderId="48" xfId="0" applyFill="1" applyBorder="1" applyAlignment="1"/>
    <xf numFmtId="177" fontId="23" fillId="2" borderId="20" xfId="0" applyNumberFormat="1" applyFont="1" applyFill="1" applyBorder="1" applyAlignment="1">
      <alignment horizontal="left"/>
    </xf>
    <xf numFmtId="177" fontId="0" fillId="2" borderId="20" xfId="0" applyNumberFormat="1" applyFill="1" applyBorder="1" applyAlignment="1">
      <alignment horizontal="right"/>
    </xf>
    <xf numFmtId="177" fontId="0" fillId="2" borderId="6" xfId="0" applyNumberFormat="1" applyFill="1" applyBorder="1" applyAlignment="1"/>
    <xf numFmtId="0" fontId="0" fillId="2" borderId="20" xfId="0" applyFill="1" applyBorder="1" applyAlignment="1"/>
    <xf numFmtId="0" fontId="0" fillId="3" borderId="0" xfId="0" applyFill="1" applyAlignment="1"/>
    <xf numFmtId="0" fontId="26" fillId="2" borderId="0" xfId="0" applyFont="1" applyFill="1" applyAlignment="1">
      <alignment horizontal="center" vertical="center"/>
    </xf>
    <xf numFmtId="177" fontId="5" fillId="2" borderId="9" xfId="0" applyNumberFormat="1" applyFont="1" applyFill="1" applyBorder="1" applyAlignment="1">
      <alignment horizontal="center"/>
    </xf>
    <xf numFmtId="177" fontId="0" fillId="0" borderId="17" xfId="0" applyNumberFormat="1" applyFont="1" applyFill="1" applyBorder="1" applyAlignment="1">
      <alignment horizontal="center"/>
    </xf>
    <xf numFmtId="177" fontId="0" fillId="0" borderId="15" xfId="0" applyNumberFormat="1" applyFont="1" applyFill="1" applyBorder="1" applyAlignment="1">
      <alignment horizontal="center"/>
    </xf>
    <xf numFmtId="177" fontId="0" fillId="0" borderId="16" xfId="0" applyNumberFormat="1" applyFont="1" applyFill="1" applyBorder="1" applyAlignment="1">
      <alignment horizontal="center"/>
    </xf>
    <xf numFmtId="177" fontId="27" fillId="0" borderId="16" xfId="0" applyNumberFormat="1" applyFont="1" applyFill="1" applyBorder="1" applyAlignment="1">
      <alignment horizontal="center"/>
    </xf>
    <xf numFmtId="177" fontId="0" fillId="2" borderId="39" xfId="0" applyNumberFormat="1" applyFill="1" applyBorder="1" applyAlignment="1">
      <alignment horizontal="center" vertical="center"/>
    </xf>
    <xf numFmtId="49" fontId="0" fillId="2" borderId="31" xfId="0" applyNumberFormat="1" applyFill="1" applyBorder="1" applyAlignment="1"/>
    <xf numFmtId="177" fontId="0" fillId="0" borderId="38" xfId="0" applyNumberFormat="1" applyFont="1" applyFill="1" applyBorder="1" applyAlignment="1">
      <alignment horizontal="center"/>
    </xf>
    <xf numFmtId="177" fontId="0" fillId="0" borderId="33" xfId="0" applyNumberFormat="1" applyFont="1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183" fontId="2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7" fontId="23" fillId="2" borderId="9" xfId="0" applyNumberFormat="1" applyFont="1" applyFill="1" applyBorder="1" applyAlignment="1">
      <alignment horizontal="center"/>
    </xf>
    <xf numFmtId="0" fontId="0" fillId="2" borderId="10" xfId="0" applyFill="1" applyBorder="1" applyAlignment="1">
      <alignment horizontal="right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82" fontId="7" fillId="2" borderId="13" xfId="0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/>
    </xf>
    <xf numFmtId="0" fontId="0" fillId="0" borderId="10" xfId="0" applyFont="1" applyFill="1" applyBorder="1" applyAlignment="1"/>
    <xf numFmtId="0" fontId="0" fillId="0" borderId="15" xfId="0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176" fontId="0" fillId="2" borderId="16" xfId="0" applyNumberFormat="1" applyFill="1" applyBorder="1" applyAlignment="1">
      <alignment horizontal="center"/>
    </xf>
    <xf numFmtId="176" fontId="0" fillId="2" borderId="18" xfId="0" applyNumberFormat="1" applyFill="1" applyBorder="1" applyAlignment="1">
      <alignment horizontal="center"/>
    </xf>
    <xf numFmtId="182" fontId="0" fillId="2" borderId="20" xfId="0" applyNumberFormat="1" applyFill="1" applyBorder="1" applyAlignment="1">
      <alignment horizontal="center" vertical="center"/>
    </xf>
    <xf numFmtId="176" fontId="0" fillId="2" borderId="21" xfId="0" applyNumberFormat="1" applyFill="1" applyBorder="1" applyAlignment="1"/>
    <xf numFmtId="179" fontId="9" fillId="2" borderId="21" xfId="0" applyNumberFormat="1" applyFont="1" applyFill="1" applyBorder="1" applyAlignment="1"/>
    <xf numFmtId="176" fontId="10" fillId="2" borderId="21" xfId="0" applyNumberFormat="1" applyFont="1" applyFill="1" applyBorder="1" applyAlignment="1"/>
    <xf numFmtId="176" fontId="9" fillId="2" borderId="21" xfId="0" applyNumberFormat="1" applyFont="1" applyFill="1" applyBorder="1" applyAlignment="1"/>
    <xf numFmtId="183" fontId="2" fillId="2" borderId="0" xfId="0" applyNumberFormat="1" applyFont="1" applyFill="1" applyAlignment="1">
      <alignment horizontal="right" vertical="center"/>
    </xf>
    <xf numFmtId="49" fontId="2" fillId="2" borderId="0" xfId="0" applyNumberFormat="1" applyFont="1" applyFill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right" vertical="center"/>
    </xf>
    <xf numFmtId="176" fontId="0" fillId="2" borderId="3" xfId="0" applyNumberFormat="1" applyFill="1" applyBorder="1" applyAlignment="1"/>
    <xf numFmtId="49" fontId="0" fillId="2" borderId="29" xfId="0" applyNumberFormat="1" applyFill="1" applyBorder="1" applyAlignment="1">
      <alignment horizontal="center"/>
    </xf>
    <xf numFmtId="181" fontId="0" fillId="2" borderId="9" xfId="0" applyNumberFormat="1" applyFill="1" applyBorder="1" applyAlignment="1">
      <alignment horizontal="right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4" xfId="0" applyFill="1" applyBorder="1" applyAlignment="1">
      <alignment horizontal="right"/>
    </xf>
    <xf numFmtId="176" fontId="0" fillId="2" borderId="35" xfId="0" applyNumberFormat="1" applyFill="1" applyBorder="1" applyAlignment="1"/>
    <xf numFmtId="49" fontId="0" fillId="2" borderId="32" xfId="0" applyNumberFormat="1" applyFill="1" applyBorder="1" applyAlignment="1">
      <alignment horizontal="center"/>
    </xf>
    <xf numFmtId="176" fontId="0" fillId="2" borderId="13" xfId="0" applyNumberFormat="1" applyFill="1" applyBorder="1" applyAlignment="1">
      <alignment horizontal="right"/>
    </xf>
    <xf numFmtId="49" fontId="0" fillId="2" borderId="38" xfId="0" applyNumberForma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2" borderId="33" xfId="0" applyFont="1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176" fontId="21" fillId="2" borderId="35" xfId="0" applyNumberFormat="1" applyFont="1" applyFill="1" applyBorder="1" applyAlignment="1"/>
    <xf numFmtId="176" fontId="6" fillId="2" borderId="21" xfId="0" applyNumberFormat="1" applyFont="1" applyFill="1" applyBorder="1" applyAlignment="1">
      <alignment horizontal="right"/>
    </xf>
    <xf numFmtId="176" fontId="28" fillId="2" borderId="20" xfId="0" applyNumberFormat="1" applyFont="1" applyFill="1" applyBorder="1" applyAlignment="1"/>
    <xf numFmtId="49" fontId="23" fillId="2" borderId="20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right"/>
    </xf>
    <xf numFmtId="40" fontId="24" fillId="3" borderId="19" xfId="0" applyNumberFormat="1" applyFont="1" applyFill="1" applyBorder="1" applyAlignment="1">
      <alignment horizontal="right"/>
    </xf>
    <xf numFmtId="49" fontId="21" fillId="3" borderId="2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center"/>
    </xf>
    <xf numFmtId="177" fontId="0" fillId="0" borderId="0" xfId="0" applyNumberFormat="1" applyAlignment="1">
      <alignment horizontal="right"/>
    </xf>
    <xf numFmtId="177" fontId="0" fillId="2" borderId="49" xfId="0" applyNumberFormat="1" applyFill="1" applyBorder="1" applyAlignment="1">
      <alignment horizontal="center" vertical="center"/>
    </xf>
    <xf numFmtId="177" fontId="8" fillId="0" borderId="38" xfId="0" applyNumberFormat="1" applyFont="1" applyFill="1" applyBorder="1" applyAlignment="1">
      <alignment horizontal="center"/>
    </xf>
    <xf numFmtId="177" fontId="8" fillId="0" borderId="33" xfId="0" applyNumberFormat="1" applyFont="1" applyFill="1" applyBorder="1" applyAlignment="1">
      <alignment horizontal="center"/>
    </xf>
    <xf numFmtId="0" fontId="0" fillId="2" borderId="0" xfId="0" applyFill="1" applyBorder="1" applyAlignment="1"/>
    <xf numFmtId="0" fontId="4" fillId="2" borderId="0" xfId="0" applyFont="1" applyFill="1" applyBorder="1" applyAlignment="1"/>
    <xf numFmtId="176" fontId="21" fillId="2" borderId="16" xfId="0" applyNumberFormat="1" applyFont="1" applyFill="1" applyBorder="1" applyAlignment="1">
      <alignment horizontal="left"/>
    </xf>
    <xf numFmtId="176" fontId="0" fillId="2" borderId="0" xfId="0" applyNumberFormat="1" applyFill="1" applyBorder="1" applyAlignment="1">
      <alignment horizontal="left"/>
    </xf>
    <xf numFmtId="0" fontId="21" fillId="2" borderId="0" xfId="0" applyFont="1" applyFill="1" applyAlignment="1"/>
    <xf numFmtId="0" fontId="29" fillId="2" borderId="0" xfId="0" applyFont="1" applyFill="1" applyAlignment="1"/>
    <xf numFmtId="177" fontId="8" fillId="0" borderId="10" xfId="0" applyNumberFormat="1" applyFont="1" applyFill="1" applyBorder="1" applyAlignment="1">
      <alignment horizontal="center"/>
    </xf>
    <xf numFmtId="177" fontId="8" fillId="0" borderId="10" xfId="0" applyNumberFormat="1" applyFont="1" applyFill="1" applyBorder="1" applyAlignment="1"/>
    <xf numFmtId="177" fontId="8" fillId="0" borderId="14" xfId="0" applyNumberFormat="1" applyFont="1" applyFill="1" applyBorder="1" applyAlignment="1">
      <alignment horizontal="center" vertical="center"/>
    </xf>
    <xf numFmtId="177" fontId="8" fillId="0" borderId="15" xfId="0" applyNumberFormat="1" applyFont="1" applyFill="1" applyBorder="1" applyAlignment="1">
      <alignment horizontal="center" vertical="center"/>
    </xf>
    <xf numFmtId="177" fontId="8" fillId="0" borderId="15" xfId="0" applyNumberFormat="1" applyFont="1" applyFill="1" applyBorder="1" applyAlignment="1">
      <alignment horizontal="center"/>
    </xf>
    <xf numFmtId="177" fontId="8" fillId="0" borderId="16" xfId="0" applyNumberFormat="1" applyFont="1" applyFill="1" applyBorder="1" applyAlignment="1">
      <alignment horizontal="center"/>
    </xf>
    <xf numFmtId="177" fontId="8" fillId="0" borderId="17" xfId="0" applyNumberFormat="1" applyFont="1" applyFill="1" applyBorder="1" applyAlignment="1">
      <alignment horizontal="center"/>
    </xf>
    <xf numFmtId="177" fontId="8" fillId="0" borderId="0" xfId="0" applyNumberFormat="1" applyFont="1" applyFill="1" applyAlignment="1">
      <alignment horizontal="center"/>
    </xf>
    <xf numFmtId="177" fontId="8" fillId="4" borderId="16" xfId="0" applyNumberFormat="1" applyFont="1" applyFill="1" applyBorder="1" applyAlignment="1"/>
    <xf numFmtId="177" fontId="8" fillId="4" borderId="16" xfId="0" applyNumberFormat="1" applyFont="1" applyFill="1" applyBorder="1" applyAlignment="1">
      <alignment horizontal="center"/>
    </xf>
    <xf numFmtId="177" fontId="8" fillId="0" borderId="44" xfId="0" applyNumberFormat="1" applyFont="1" applyFill="1" applyBorder="1" applyAlignment="1"/>
    <xf numFmtId="177" fontId="8" fillId="2" borderId="18" xfId="0" applyNumberFormat="1" applyFont="1" applyFill="1" applyBorder="1" applyAlignment="1"/>
    <xf numFmtId="177" fontId="8" fillId="2" borderId="10" xfId="0" applyNumberFormat="1" applyFont="1" applyFill="1" applyBorder="1" applyAlignment="1">
      <alignment horizontal="center" vertical="center"/>
    </xf>
    <xf numFmtId="177" fontId="8" fillId="2" borderId="20" xfId="0" applyNumberFormat="1" applyFont="1" applyFill="1" applyBorder="1" applyAlignment="1">
      <alignment horizontal="center" vertical="center"/>
    </xf>
    <xf numFmtId="177" fontId="8" fillId="2" borderId="0" xfId="0" applyNumberFormat="1" applyFont="1" applyFill="1" applyAlignment="1"/>
    <xf numFmtId="177" fontId="8" fillId="2" borderId="14" xfId="0" applyNumberFormat="1" applyFont="1" applyFill="1" applyBorder="1" applyAlignment="1">
      <alignment horizontal="center" vertical="center"/>
    </xf>
    <xf numFmtId="177" fontId="8" fillId="2" borderId="15" xfId="0" applyNumberFormat="1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 vertical="center"/>
    </xf>
    <xf numFmtId="177" fontId="8" fillId="2" borderId="21" xfId="0" applyNumberFormat="1" applyFont="1" applyFill="1" applyBorder="1" applyAlignment="1"/>
    <xf numFmtId="177" fontId="21" fillId="2" borderId="0" xfId="0" applyNumberFormat="1" applyFont="1" applyFill="1" applyAlignment="1"/>
    <xf numFmtId="0" fontId="30" fillId="2" borderId="1" xfId="0" applyFont="1" applyFill="1" applyBorder="1" applyAlignment="1">
      <alignment horizontal="right" vertical="center"/>
    </xf>
    <xf numFmtId="177" fontId="31" fillId="2" borderId="50" xfId="0" applyNumberFormat="1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right" vertical="center"/>
    </xf>
    <xf numFmtId="177" fontId="0" fillId="2" borderId="4" xfId="0" applyNumberFormat="1" applyFill="1" applyBorder="1" applyAlignment="1"/>
    <xf numFmtId="177" fontId="0" fillId="2" borderId="43" xfId="0" applyNumberFormat="1" applyFill="1" applyBorder="1" applyAlignment="1">
      <alignment horizontal="center" vertical="center"/>
    </xf>
    <xf numFmtId="177" fontId="8" fillId="0" borderId="32" xfId="0" applyNumberFormat="1" applyFont="1" applyFill="1" applyBorder="1" applyAlignment="1">
      <alignment horizontal="center"/>
    </xf>
    <xf numFmtId="177" fontId="8" fillId="2" borderId="43" xfId="0" applyNumberFormat="1" applyFont="1" applyFill="1" applyBorder="1" applyAlignment="1">
      <alignment horizontal="center" vertical="center"/>
    </xf>
    <xf numFmtId="177" fontId="8" fillId="2" borderId="35" xfId="0" applyNumberFormat="1" applyFont="1" applyFill="1" applyBorder="1" applyAlignment="1"/>
    <xf numFmtId="49" fontId="8" fillId="2" borderId="36" xfId="0" applyNumberFormat="1" applyFont="1" applyFill="1" applyBorder="1" applyAlignment="1">
      <alignment horizontal="center"/>
    </xf>
    <xf numFmtId="176" fontId="8" fillId="2" borderId="16" xfId="0" applyNumberFormat="1" applyFont="1" applyFill="1" applyBorder="1" applyAlignment="1">
      <alignment horizontal="right"/>
    </xf>
    <xf numFmtId="178" fontId="21" fillId="2" borderId="13" xfId="0" applyNumberFormat="1" applyFont="1" applyFill="1" applyBorder="1" applyAlignment="1"/>
    <xf numFmtId="178" fontId="21" fillId="2" borderId="37" xfId="0" applyNumberFormat="1" applyFont="1" applyFill="1" applyBorder="1" applyAlignment="1"/>
    <xf numFmtId="0" fontId="32" fillId="2" borderId="0" xfId="0" applyFont="1" applyFill="1" applyAlignment="1"/>
    <xf numFmtId="176" fontId="8" fillId="2" borderId="37" xfId="0" applyNumberFormat="1" applyFont="1" applyFill="1" applyBorder="1" applyAlignment="1">
      <alignment horizontal="right"/>
    </xf>
    <xf numFmtId="178" fontId="33" fillId="2" borderId="37" xfId="0" applyNumberFormat="1" applyFont="1" applyFill="1" applyBorder="1" applyAlignment="1"/>
    <xf numFmtId="178" fontId="29" fillId="2" borderId="37" xfId="0" applyNumberFormat="1" applyFont="1" applyFill="1" applyBorder="1" applyAlignment="1"/>
    <xf numFmtId="177" fontId="8" fillId="2" borderId="51" xfId="0" applyNumberFormat="1" applyFont="1" applyFill="1" applyBorder="1" applyAlignment="1">
      <alignment horizontal="center" vertical="center"/>
    </xf>
    <xf numFmtId="177" fontId="8" fillId="2" borderId="32" xfId="0" applyNumberFormat="1" applyFont="1" applyFill="1" applyBorder="1" applyAlignment="1">
      <alignment horizontal="center"/>
    </xf>
    <xf numFmtId="177" fontId="8" fillId="2" borderId="50" xfId="0" applyNumberFormat="1" applyFont="1" applyFill="1" applyBorder="1" applyAlignment="1">
      <alignment horizontal="center"/>
    </xf>
    <xf numFmtId="177" fontId="8" fillId="2" borderId="8" xfId="0" applyNumberFormat="1" applyFont="1" applyFill="1" applyBorder="1" applyAlignment="1">
      <alignment horizontal="center" vertical="center"/>
    </xf>
    <xf numFmtId="49" fontId="8" fillId="2" borderId="40" xfId="0" applyNumberFormat="1" applyFont="1" applyFill="1" applyBorder="1" applyAlignment="1">
      <alignment horizontal="center"/>
    </xf>
    <xf numFmtId="178" fontId="21" fillId="2" borderId="41" xfId="0" applyNumberFormat="1" applyFont="1" applyFill="1" applyBorder="1" applyAlignment="1"/>
    <xf numFmtId="177" fontId="6" fillId="2" borderId="52" xfId="0" applyNumberFormat="1" applyFont="1" applyFill="1" applyBorder="1" applyAlignment="1"/>
    <xf numFmtId="177" fontId="34" fillId="2" borderId="20" xfId="0" applyNumberFormat="1" applyFont="1" applyFill="1" applyBorder="1" applyAlignment="1"/>
    <xf numFmtId="0" fontId="8" fillId="2" borderId="20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 applyAlignment="1"/>
    <xf numFmtId="0" fontId="0" fillId="0" borderId="17" xfId="0" applyFont="1" applyFill="1" applyBorder="1" applyAlignment="1">
      <alignment horizontal="center"/>
    </xf>
    <xf numFmtId="176" fontId="8" fillId="0" borderId="16" xfId="0" applyNumberFormat="1" applyFont="1" applyFill="1" applyBorder="1" applyAlignment="1">
      <alignment horizontal="center"/>
    </xf>
    <xf numFmtId="176" fontId="0" fillId="0" borderId="16" xfId="0" applyNumberFormat="1" applyFill="1" applyBorder="1" applyAlignment="1"/>
    <xf numFmtId="176" fontId="0" fillId="0" borderId="16" xfId="0" applyNumberFormat="1" applyFill="1" applyBorder="1" applyAlignment="1">
      <alignment horizontal="center"/>
    </xf>
    <xf numFmtId="176" fontId="0" fillId="0" borderId="18" xfId="0" applyNumberFormat="1" applyFill="1" applyBorder="1" applyAlignment="1">
      <alignment horizontal="center" vertical="center"/>
    </xf>
    <xf numFmtId="179" fontId="6" fillId="2" borderId="20" xfId="0" applyNumberFormat="1" applyFont="1" applyFill="1" applyBorder="1" applyAlignment="1">
      <alignment horizontal="center"/>
    </xf>
    <xf numFmtId="0" fontId="0" fillId="2" borderId="30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/>
    </xf>
    <xf numFmtId="0" fontId="0" fillId="2" borderId="34" xfId="0" applyFill="1" applyBorder="1" applyAlignment="1"/>
    <xf numFmtId="176" fontId="8" fillId="2" borderId="35" xfId="0" applyNumberFormat="1" applyFont="1" applyFill="1" applyBorder="1" applyAlignment="1"/>
    <xf numFmtId="0" fontId="0" fillId="2" borderId="43" xfId="0" applyFill="1" applyBorder="1" applyAlignment="1"/>
    <xf numFmtId="176" fontId="0" fillId="2" borderId="46" xfId="0" applyNumberFormat="1" applyFill="1" applyBorder="1" applyAlignment="1">
      <alignment horizontal="right"/>
    </xf>
    <xf numFmtId="0" fontId="0" fillId="0" borderId="32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176" fontId="0" fillId="2" borderId="35" xfId="0" applyNumberFormat="1" applyFill="1" applyBorder="1" applyAlignment="1">
      <alignment horizontal="center" vertical="center"/>
    </xf>
    <xf numFmtId="49" fontId="0" fillId="2" borderId="40" xfId="0" applyNumberFormat="1" applyFill="1" applyBorder="1" applyAlignment="1">
      <alignment horizontal="center" vertical="center"/>
    </xf>
    <xf numFmtId="176" fontId="6" fillId="2" borderId="21" xfId="0" applyNumberFormat="1" applyFont="1" applyFill="1" applyBorder="1" applyAlignment="1"/>
    <xf numFmtId="176" fontId="23" fillId="2" borderId="20" xfId="0" applyNumberFormat="1" applyFont="1" applyFill="1" applyBorder="1" applyAlignment="1"/>
    <xf numFmtId="0" fontId="0" fillId="0" borderId="0" xfId="0" applyAlignment="1"/>
    <xf numFmtId="176" fontId="5" fillId="3" borderId="9" xfId="0" applyNumberFormat="1" applyFont="1" applyFill="1" applyBorder="1" applyAlignment="1">
      <alignment horizontal="center"/>
    </xf>
    <xf numFmtId="176" fontId="0" fillId="2" borderId="18" xfId="0" applyNumberFormat="1" applyFill="1" applyBorder="1" applyAlignment="1"/>
    <xf numFmtId="178" fontId="35" fillId="2" borderId="37" xfId="0" applyNumberFormat="1" applyFont="1" applyFill="1" applyBorder="1" applyAlignment="1"/>
    <xf numFmtId="176" fontId="0" fillId="2" borderId="16" xfId="0" applyNumberFormat="1" applyFill="1" applyBorder="1" applyAlignment="1"/>
    <xf numFmtId="0" fontId="31" fillId="2" borderId="0" xfId="0" applyFont="1" applyFill="1" applyAlignment="1"/>
    <xf numFmtId="0" fontId="0" fillId="0" borderId="10" xfId="0" applyFill="1" applyBorder="1" applyAlignment="1">
      <alignment horizontal="right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76" fontId="0" fillId="0" borderId="44" xfId="0" applyNumberFormat="1" applyFill="1" applyBorder="1" applyAlignment="1">
      <alignment horizontal="center"/>
    </xf>
    <xf numFmtId="176" fontId="0" fillId="0" borderId="37" xfId="0" applyNumberFormat="1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176" fontId="0" fillId="0" borderId="41" xfId="0" applyNumberFormat="1" applyFill="1" applyBorder="1" applyAlignment="1">
      <alignment horizontal="center"/>
    </xf>
    <xf numFmtId="0" fontId="0" fillId="0" borderId="35" xfId="0" applyFill="1" applyBorder="1" applyAlignment="1">
      <alignment horizontal="center" vertical="center"/>
    </xf>
    <xf numFmtId="176" fontId="0" fillId="2" borderId="52" xfId="0" applyNumberFormat="1" applyFill="1" applyBorder="1" applyAlignment="1"/>
    <xf numFmtId="0" fontId="0" fillId="0" borderId="29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182" fontId="0" fillId="2" borderId="35" xfId="0" applyNumberFormat="1" applyFill="1" applyBorder="1" applyAlignment="1"/>
    <xf numFmtId="178" fontId="0" fillId="2" borderId="48" xfId="0" applyNumberFormat="1" applyFill="1" applyBorder="1" applyAlignment="1"/>
    <xf numFmtId="0" fontId="0" fillId="0" borderId="39" xfId="0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176" fontId="0" fillId="0" borderId="18" xfId="0" applyNumberFormat="1" applyFill="1" applyBorder="1" applyAlignment="1"/>
    <xf numFmtId="49" fontId="0" fillId="2" borderId="13" xfId="0" applyNumberFormat="1" applyFill="1" applyBorder="1" applyAlignment="1">
      <alignment horizontal="center"/>
    </xf>
    <xf numFmtId="49" fontId="0" fillId="2" borderId="10" xfId="0" applyNumberFormat="1" applyFill="1" applyBorder="1" applyAlignment="1">
      <alignment horizontal="center"/>
    </xf>
    <xf numFmtId="49" fontId="0" fillId="2" borderId="16" xfId="0" applyNumberFormat="1" applyFill="1" applyBorder="1" applyAlignment="1">
      <alignment horizontal="center"/>
    </xf>
    <xf numFmtId="49" fontId="0" fillId="2" borderId="37" xfId="0" applyNumberFormat="1" applyFill="1" applyBorder="1" applyAlignment="1">
      <alignment horizontal="center"/>
    </xf>
    <xf numFmtId="176" fontId="23" fillId="2" borderId="20" xfId="0" applyNumberFormat="1" applyFont="1" applyFill="1" applyBorder="1" applyAlignment="1">
      <alignment horizontal="center"/>
    </xf>
    <xf numFmtId="0" fontId="0" fillId="2" borderId="20" xfId="0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customXml" Target="../customXml/item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3" sqref="H13"/>
    </sheetView>
  </sheetViews>
  <sheetFormatPr defaultColWidth="9" defaultRowHeight="14.25"/>
  <sheetData/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8"/>
  <sheetViews>
    <sheetView topLeftCell="A19" workbookViewId="0">
      <selection activeCell="F32" sqref="F32"/>
    </sheetView>
  </sheetViews>
  <sheetFormatPr defaultColWidth="10.4416666666667" defaultRowHeight="14.25"/>
  <cols>
    <col min="1" max="1" width="13" style="2" customWidth="1"/>
    <col min="2" max="2" width="18" style="3" customWidth="1"/>
    <col min="3" max="3" width="15.375" style="3" customWidth="1"/>
    <col min="4" max="4" width="12" style="58" customWidth="1"/>
    <col min="5" max="5" width="10.5583333333333" style="3" customWidth="1"/>
    <col min="6" max="6" width="12.5583333333333" style="3" customWidth="1"/>
    <col min="7" max="7" width="11.4416666666667" style="3" customWidth="1"/>
    <col min="8" max="8" width="12.5583333333333" style="3" customWidth="1"/>
    <col min="9" max="9" width="11.4416666666667" style="3" customWidth="1"/>
    <col min="10" max="10" width="15.775" style="3" customWidth="1"/>
    <col min="11" max="11" width="15.2166666666667" style="3" customWidth="1"/>
    <col min="12" max="12" width="13.25" style="3" customWidth="1"/>
    <col min="13" max="13" width="12.4416666666667" style="3" customWidth="1"/>
    <col min="14" max="14" width="15.3333333333333" style="5" customWidth="1"/>
    <col min="15" max="15" width="10.4416666666667" style="6"/>
    <col min="16" max="16384" width="10.4416666666667" style="2"/>
  </cols>
  <sheetData>
    <row r="1" ht="30" spans="1:15">
      <c r="A1" s="270" t="s">
        <v>105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</row>
    <row r="2" ht="20.25" spans="1:12">
      <c r="A2" s="233" t="s">
        <v>1</v>
      </c>
      <c r="L2" s="3" t="s">
        <v>2</v>
      </c>
    </row>
    <row r="3" spans="1:15">
      <c r="A3" s="9" t="s">
        <v>3</v>
      </c>
      <c r="B3" s="10" t="s">
        <v>4</v>
      </c>
      <c r="C3" s="11" t="s">
        <v>5</v>
      </c>
      <c r="D3" s="74" t="s">
        <v>6</v>
      </c>
      <c r="E3" s="74" t="s">
        <v>7</v>
      </c>
      <c r="F3" s="12" t="s">
        <v>8</v>
      </c>
      <c r="G3" s="13"/>
      <c r="H3" s="13"/>
      <c r="I3" s="13"/>
      <c r="J3" s="72"/>
      <c r="K3" s="73" t="s">
        <v>9</v>
      </c>
      <c r="L3" s="74" t="s">
        <v>10</v>
      </c>
      <c r="M3" s="74" t="s">
        <v>11</v>
      </c>
      <c r="N3" s="75" t="s">
        <v>12</v>
      </c>
      <c r="O3" s="76" t="s">
        <v>13</v>
      </c>
    </row>
    <row r="4" ht="15" spans="1:15">
      <c r="A4" s="14"/>
      <c r="B4" s="15"/>
      <c r="C4" s="16"/>
      <c r="D4" s="80"/>
      <c r="E4" s="80"/>
      <c r="F4" s="17" t="s">
        <v>14</v>
      </c>
      <c r="G4" s="18" t="s">
        <v>15</v>
      </c>
      <c r="H4" s="18" t="s">
        <v>16</v>
      </c>
      <c r="I4" s="77" t="s">
        <v>17</v>
      </c>
      <c r="J4" s="276" t="s">
        <v>18</v>
      </c>
      <c r="K4" s="79"/>
      <c r="L4" s="80"/>
      <c r="M4" s="80"/>
      <c r="N4" s="81"/>
      <c r="O4" s="82"/>
    </row>
    <row r="5" ht="15" spans="1:15">
      <c r="A5" s="19" t="s">
        <v>19</v>
      </c>
      <c r="B5" s="271">
        <v>2266.48</v>
      </c>
      <c r="C5" s="21"/>
      <c r="D5" s="12"/>
      <c r="E5" s="12"/>
      <c r="F5" s="23"/>
      <c r="G5" s="24"/>
      <c r="H5" s="24"/>
      <c r="I5" s="83"/>
      <c r="J5" s="72"/>
      <c r="K5" s="84"/>
      <c r="L5" s="85">
        <f>SUM(V4)</f>
        <v>0</v>
      </c>
      <c r="M5" s="277"/>
      <c r="N5" s="87"/>
      <c r="O5" s="88"/>
    </row>
    <row r="6" ht="16.5" spans="1:15">
      <c r="A6" s="25">
        <v>45017</v>
      </c>
      <c r="B6" s="26">
        <f>B5</f>
        <v>2266.48</v>
      </c>
      <c r="C6" s="26"/>
      <c r="D6" s="240"/>
      <c r="E6" s="240"/>
      <c r="F6" s="28">
        <v>2185</v>
      </c>
      <c r="G6" s="29">
        <v>74</v>
      </c>
      <c r="H6" s="29">
        <v>2111</v>
      </c>
      <c r="I6" s="89"/>
      <c r="J6" s="90"/>
      <c r="K6" s="91">
        <f>SUM(H6+I6)</f>
        <v>2111</v>
      </c>
      <c r="L6" s="92">
        <f t="shared" ref="L6:L14" si="0">B6+C6-D6-E6-K6</f>
        <v>155.48</v>
      </c>
      <c r="M6" s="93" t="s">
        <v>72</v>
      </c>
      <c r="N6" s="94"/>
      <c r="O6" s="95"/>
    </row>
    <row r="7" ht="16.5" spans="1:15">
      <c r="A7" s="25">
        <v>45018</v>
      </c>
      <c r="B7" s="26">
        <f>SUM(L6)</f>
        <v>155.48</v>
      </c>
      <c r="C7" s="141"/>
      <c r="D7" s="236"/>
      <c r="E7" s="237"/>
      <c r="F7" s="143"/>
      <c r="G7" s="144"/>
      <c r="H7" s="144"/>
      <c r="I7" s="203"/>
      <c r="J7" s="204"/>
      <c r="K7" s="91">
        <f t="shared" ref="K7:K35" si="1">SUM(H7+I7)</f>
        <v>0</v>
      </c>
      <c r="L7" s="92">
        <f t="shared" si="0"/>
        <v>155.48</v>
      </c>
      <c r="M7" s="93"/>
      <c r="N7" s="96"/>
      <c r="O7" s="97"/>
    </row>
    <row r="8" ht="16.5" spans="1:15">
      <c r="A8" s="25">
        <v>45019</v>
      </c>
      <c r="B8" s="26">
        <f t="shared" ref="B8:B35" si="2">SUM(L7)</f>
        <v>155.48</v>
      </c>
      <c r="C8" s="141"/>
      <c r="D8" s="236"/>
      <c r="E8" s="237"/>
      <c r="F8" s="143"/>
      <c r="G8" s="144"/>
      <c r="H8" s="144"/>
      <c r="I8" s="203">
        <v>13</v>
      </c>
      <c r="J8" s="204"/>
      <c r="K8" s="91">
        <f t="shared" si="1"/>
        <v>13</v>
      </c>
      <c r="L8" s="92">
        <f t="shared" si="0"/>
        <v>142.48</v>
      </c>
      <c r="M8" s="93" t="s">
        <v>106</v>
      </c>
      <c r="N8" s="96"/>
      <c r="O8" s="98"/>
    </row>
    <row r="9" ht="16.5" spans="1:15">
      <c r="A9" s="25">
        <v>45020</v>
      </c>
      <c r="B9" s="26">
        <f t="shared" si="2"/>
        <v>142.48</v>
      </c>
      <c r="C9" s="141"/>
      <c r="D9" s="149"/>
      <c r="E9" s="152"/>
      <c r="F9" s="143"/>
      <c r="G9" s="144"/>
      <c r="H9" s="144"/>
      <c r="I9" s="203"/>
      <c r="J9" s="204"/>
      <c r="K9" s="91">
        <f t="shared" si="1"/>
        <v>0</v>
      </c>
      <c r="L9" s="92">
        <f t="shared" si="0"/>
        <v>142.48</v>
      </c>
      <c r="M9" s="93"/>
      <c r="N9" s="96"/>
      <c r="O9" s="98"/>
    </row>
    <row r="10" ht="16.5" spans="1:16">
      <c r="A10" s="25">
        <v>45021</v>
      </c>
      <c r="B10" s="26">
        <f t="shared" si="2"/>
        <v>142.48</v>
      </c>
      <c r="C10" s="141"/>
      <c r="D10" s="149"/>
      <c r="E10" s="152"/>
      <c r="F10" s="147"/>
      <c r="G10" s="148"/>
      <c r="H10" s="148"/>
      <c r="I10" s="213"/>
      <c r="J10" s="204"/>
      <c r="K10" s="91">
        <f t="shared" si="1"/>
        <v>0</v>
      </c>
      <c r="L10" s="92">
        <f t="shared" si="0"/>
        <v>142.48</v>
      </c>
      <c r="M10" s="93"/>
      <c r="N10" s="96"/>
      <c r="O10" s="98"/>
      <c r="P10" s="100"/>
    </row>
    <row r="11" ht="16.5" spans="1:15">
      <c r="A11" s="25">
        <v>45022</v>
      </c>
      <c r="B11" s="26">
        <f t="shared" si="2"/>
        <v>142.48</v>
      </c>
      <c r="C11" s="141"/>
      <c r="D11" s="172"/>
      <c r="E11" s="152"/>
      <c r="F11" s="147"/>
      <c r="G11" s="148"/>
      <c r="H11" s="148"/>
      <c r="I11" s="213"/>
      <c r="J11" s="204"/>
      <c r="K11" s="91">
        <f t="shared" si="1"/>
        <v>0</v>
      </c>
      <c r="L11" s="92">
        <f t="shared" si="0"/>
        <v>142.48</v>
      </c>
      <c r="M11" s="93"/>
      <c r="N11" s="96"/>
      <c r="O11" s="98"/>
    </row>
    <row r="12" ht="16.5" spans="1:15">
      <c r="A12" s="25">
        <v>45023</v>
      </c>
      <c r="B12" s="26">
        <f t="shared" si="2"/>
        <v>142.48</v>
      </c>
      <c r="C12" s="141">
        <f>1644.2775+3817.935</f>
        <v>5462.2125</v>
      </c>
      <c r="D12" s="149"/>
      <c r="E12" s="152"/>
      <c r="F12" s="147">
        <v>3520</v>
      </c>
      <c r="G12" s="148">
        <v>69</v>
      </c>
      <c r="H12" s="148">
        <v>3451</v>
      </c>
      <c r="I12" s="213">
        <v>23.2</v>
      </c>
      <c r="J12" s="204"/>
      <c r="K12" s="91">
        <f t="shared" si="1"/>
        <v>3474.2</v>
      </c>
      <c r="L12" s="92">
        <f t="shared" si="0"/>
        <v>2130.4925</v>
      </c>
      <c r="M12" s="93" t="s">
        <v>107</v>
      </c>
      <c r="N12" s="96"/>
      <c r="O12" s="98"/>
    </row>
    <row r="13" ht="16.5" spans="1:15">
      <c r="A13" s="25">
        <v>45024</v>
      </c>
      <c r="B13" s="26">
        <f t="shared" si="2"/>
        <v>2130.4925</v>
      </c>
      <c r="C13" s="141">
        <v>2507.7325</v>
      </c>
      <c r="D13" s="149"/>
      <c r="E13" s="238">
        <v>28.3</v>
      </c>
      <c r="F13" s="147">
        <v>3066</v>
      </c>
      <c r="G13" s="148">
        <v>70</v>
      </c>
      <c r="H13" s="148">
        <v>2996</v>
      </c>
      <c r="I13" s="213">
        <v>43.7</v>
      </c>
      <c r="J13" s="204"/>
      <c r="K13" s="91">
        <f t="shared" si="1"/>
        <v>3039.7</v>
      </c>
      <c r="L13" s="92">
        <f t="shared" si="0"/>
        <v>1570.225</v>
      </c>
      <c r="M13" s="93" t="s">
        <v>78</v>
      </c>
      <c r="N13" s="96"/>
      <c r="O13" s="98"/>
    </row>
    <row r="14" ht="16.5" spans="1:15">
      <c r="A14" s="25">
        <v>45025</v>
      </c>
      <c r="B14" s="26">
        <f t="shared" si="2"/>
        <v>1570.225</v>
      </c>
      <c r="C14" s="141"/>
      <c r="D14" s="149"/>
      <c r="E14" s="152"/>
      <c r="F14" s="147"/>
      <c r="G14" s="148"/>
      <c r="H14" s="148"/>
      <c r="I14" s="213"/>
      <c r="J14" s="204"/>
      <c r="K14" s="91">
        <f t="shared" si="1"/>
        <v>0</v>
      </c>
      <c r="L14" s="92">
        <f t="shared" si="0"/>
        <v>1570.225</v>
      </c>
      <c r="M14" s="93"/>
      <c r="N14" s="96"/>
      <c r="O14" s="98"/>
    </row>
    <row r="15" s="269" customFormat="1" ht="16.5" spans="1:32">
      <c r="A15" s="25">
        <v>45026</v>
      </c>
      <c r="B15" s="26">
        <f t="shared" si="2"/>
        <v>1570.225</v>
      </c>
      <c r="C15" s="141">
        <v>14715.705</v>
      </c>
      <c r="D15" s="149"/>
      <c r="E15" s="152"/>
      <c r="F15" s="147">
        <v>11038</v>
      </c>
      <c r="G15" s="148">
        <v>469</v>
      </c>
      <c r="H15" s="148">
        <v>10569</v>
      </c>
      <c r="I15" s="213">
        <v>116</v>
      </c>
      <c r="J15" s="204">
        <v>55</v>
      </c>
      <c r="K15" s="91">
        <f t="shared" si="1"/>
        <v>10685</v>
      </c>
      <c r="L15" s="92">
        <f t="shared" ref="L15:L35" si="3">B15+C15-D15-E15-K15</f>
        <v>5600.93</v>
      </c>
      <c r="M15" s="93" t="s">
        <v>93</v>
      </c>
      <c r="N15" s="96"/>
      <c r="O15" s="98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ht="16.5" spans="1:15">
      <c r="A16" s="25">
        <v>45027</v>
      </c>
      <c r="B16" s="26">
        <f t="shared" si="2"/>
        <v>5600.93</v>
      </c>
      <c r="C16" s="147">
        <v>12910.91</v>
      </c>
      <c r="D16" s="149"/>
      <c r="E16" s="152"/>
      <c r="F16" s="147">
        <v>15595</v>
      </c>
      <c r="G16" s="148">
        <v>819</v>
      </c>
      <c r="H16" s="148">
        <v>14776</v>
      </c>
      <c r="I16" s="213">
        <v>225.9</v>
      </c>
      <c r="J16" s="204"/>
      <c r="K16" s="91">
        <f t="shared" si="1"/>
        <v>15001.9</v>
      </c>
      <c r="L16" s="92">
        <f t="shared" si="3"/>
        <v>3509.94</v>
      </c>
      <c r="M16" s="93" t="s">
        <v>73</v>
      </c>
      <c r="N16" s="96"/>
      <c r="O16" s="98"/>
    </row>
    <row r="17" ht="16.5" spans="1:15">
      <c r="A17" s="25">
        <v>45028</v>
      </c>
      <c r="B17" s="26">
        <f t="shared" si="2"/>
        <v>3509.94</v>
      </c>
      <c r="C17" s="141">
        <v>9557.801</v>
      </c>
      <c r="D17" s="149">
        <v>374.782</v>
      </c>
      <c r="E17" s="152"/>
      <c r="F17" s="147">
        <v>11875</v>
      </c>
      <c r="G17" s="148">
        <v>502</v>
      </c>
      <c r="H17" s="148">
        <v>11373</v>
      </c>
      <c r="I17" s="213">
        <v>103</v>
      </c>
      <c r="J17" s="204"/>
      <c r="K17" s="91">
        <f t="shared" si="1"/>
        <v>11476</v>
      </c>
      <c r="L17" s="92">
        <f t="shared" si="3"/>
        <v>1216.959</v>
      </c>
      <c r="M17" s="93" t="s">
        <v>74</v>
      </c>
      <c r="N17" s="96"/>
      <c r="O17" s="98"/>
    </row>
    <row r="18" ht="16.5" spans="1:16">
      <c r="A18" s="25">
        <v>45029</v>
      </c>
      <c r="B18" s="26">
        <f t="shared" si="2"/>
        <v>1216.959</v>
      </c>
      <c r="C18" s="141">
        <v>7660.985</v>
      </c>
      <c r="D18" s="149">
        <v>3</v>
      </c>
      <c r="E18" s="152"/>
      <c r="F18" s="272">
        <v>5864</v>
      </c>
      <c r="G18" s="148">
        <v>117</v>
      </c>
      <c r="H18" s="273">
        <v>5747</v>
      </c>
      <c r="I18" s="278">
        <v>36</v>
      </c>
      <c r="J18" s="279"/>
      <c r="K18" s="91">
        <f t="shared" si="1"/>
        <v>5783</v>
      </c>
      <c r="L18" s="92">
        <f t="shared" si="3"/>
        <v>3091.944</v>
      </c>
      <c r="M18" s="93" t="s">
        <v>108</v>
      </c>
      <c r="N18" s="96"/>
      <c r="O18" s="98"/>
      <c r="P18" s="100"/>
    </row>
    <row r="19" ht="16.5" spans="1:15">
      <c r="A19" s="25">
        <v>45030</v>
      </c>
      <c r="B19" s="26">
        <f t="shared" si="2"/>
        <v>3091.944</v>
      </c>
      <c r="C19" s="141">
        <v>3089.865</v>
      </c>
      <c r="D19" s="149"/>
      <c r="E19" s="238">
        <v>11</v>
      </c>
      <c r="F19" s="147">
        <v>4872</v>
      </c>
      <c r="G19" s="148">
        <v>84</v>
      </c>
      <c r="H19" s="148">
        <v>4788</v>
      </c>
      <c r="I19" s="213">
        <v>22</v>
      </c>
      <c r="J19" s="204"/>
      <c r="K19" s="91">
        <f t="shared" si="1"/>
        <v>4810</v>
      </c>
      <c r="L19" s="92">
        <f t="shared" si="3"/>
        <v>1360.809</v>
      </c>
      <c r="M19" s="93" t="s">
        <v>109</v>
      </c>
      <c r="N19" s="96"/>
      <c r="O19" s="98"/>
    </row>
    <row r="20" ht="16.5" spans="1:15">
      <c r="A20" s="25">
        <v>45031</v>
      </c>
      <c r="B20" s="26">
        <f t="shared" si="2"/>
        <v>1360.809</v>
      </c>
      <c r="C20" s="141"/>
      <c r="D20" s="149"/>
      <c r="E20" s="152"/>
      <c r="F20" s="147">
        <v>945</v>
      </c>
      <c r="G20" s="148">
        <v>20</v>
      </c>
      <c r="H20" s="148">
        <v>925</v>
      </c>
      <c r="I20" s="213">
        <v>4.5</v>
      </c>
      <c r="J20" s="204"/>
      <c r="K20" s="91">
        <f t="shared" si="1"/>
        <v>929.5</v>
      </c>
      <c r="L20" s="92">
        <f t="shared" si="3"/>
        <v>431.308999999999</v>
      </c>
      <c r="M20" s="93" t="s">
        <v>110</v>
      </c>
      <c r="N20" s="96"/>
      <c r="O20" s="98"/>
    </row>
    <row r="21" ht="16.5" spans="1:15">
      <c r="A21" s="25">
        <v>45032</v>
      </c>
      <c r="B21" s="26">
        <f t="shared" si="2"/>
        <v>431.308999999999</v>
      </c>
      <c r="C21" s="141"/>
      <c r="D21" s="149"/>
      <c r="E21" s="152"/>
      <c r="F21" s="147"/>
      <c r="G21" s="148"/>
      <c r="H21" s="148"/>
      <c r="I21" s="213"/>
      <c r="J21" s="204"/>
      <c r="K21" s="91">
        <f t="shared" si="1"/>
        <v>0</v>
      </c>
      <c r="L21" s="92">
        <f t="shared" si="3"/>
        <v>431.308999999999</v>
      </c>
      <c r="M21" s="93"/>
      <c r="N21" s="96"/>
      <c r="O21" s="98"/>
    </row>
    <row r="22" ht="16.5" spans="1:15">
      <c r="A22" s="25">
        <v>45033</v>
      </c>
      <c r="B22" s="26">
        <f t="shared" si="2"/>
        <v>431.308999999999</v>
      </c>
      <c r="C22" s="141"/>
      <c r="D22" s="149"/>
      <c r="E22" s="152"/>
      <c r="F22" s="147"/>
      <c r="G22" s="148"/>
      <c r="H22" s="148"/>
      <c r="I22" s="213"/>
      <c r="J22" s="204"/>
      <c r="K22" s="91">
        <f t="shared" si="1"/>
        <v>0</v>
      </c>
      <c r="L22" s="92">
        <f t="shared" si="3"/>
        <v>431.308999999999</v>
      </c>
      <c r="M22" s="93"/>
      <c r="N22" s="96"/>
      <c r="O22" s="98"/>
    </row>
    <row r="23" ht="16.5" spans="1:15">
      <c r="A23" s="25">
        <v>45034</v>
      </c>
      <c r="B23" s="26">
        <f t="shared" si="2"/>
        <v>431.308999999999</v>
      </c>
      <c r="C23" s="141">
        <f>14797.0955+136</f>
        <v>14933.0955</v>
      </c>
      <c r="D23" s="149"/>
      <c r="E23" s="152"/>
      <c r="F23" s="147">
        <v>7312</v>
      </c>
      <c r="G23" s="148">
        <v>421</v>
      </c>
      <c r="H23" s="148">
        <v>6891</v>
      </c>
      <c r="I23" s="213">
        <v>250.5</v>
      </c>
      <c r="J23" s="204"/>
      <c r="K23" s="91">
        <f t="shared" si="1"/>
        <v>7141.5</v>
      </c>
      <c r="L23" s="92">
        <f t="shared" si="3"/>
        <v>8222.9045</v>
      </c>
      <c r="M23" s="93" t="s">
        <v>111</v>
      </c>
      <c r="N23" s="101"/>
      <c r="O23" s="98"/>
    </row>
    <row r="24" ht="16.5" spans="1:15">
      <c r="A24" s="25">
        <v>45035</v>
      </c>
      <c r="B24" s="26">
        <f t="shared" si="2"/>
        <v>8222.9045</v>
      </c>
      <c r="C24" s="141">
        <v>2491.6625</v>
      </c>
      <c r="D24" s="149"/>
      <c r="E24" s="152"/>
      <c r="F24" s="147">
        <v>6804</v>
      </c>
      <c r="G24" s="148">
        <v>253</v>
      </c>
      <c r="H24" s="148">
        <v>6551</v>
      </c>
      <c r="I24" s="213">
        <v>45.3</v>
      </c>
      <c r="J24" s="204"/>
      <c r="K24" s="91">
        <f t="shared" si="1"/>
        <v>6596.3</v>
      </c>
      <c r="L24" s="92">
        <f t="shared" si="3"/>
        <v>4118.267</v>
      </c>
      <c r="M24" s="93" t="s">
        <v>112</v>
      </c>
      <c r="N24" s="96"/>
      <c r="O24" s="98"/>
    </row>
    <row r="25" ht="16.5" spans="1:15">
      <c r="A25" s="25">
        <v>45036</v>
      </c>
      <c r="B25" s="26">
        <f t="shared" si="2"/>
        <v>4118.267</v>
      </c>
      <c r="C25" s="141">
        <v>385.805</v>
      </c>
      <c r="D25" s="149"/>
      <c r="E25" s="239"/>
      <c r="F25" s="147">
        <v>4359</v>
      </c>
      <c r="G25" s="148">
        <v>79</v>
      </c>
      <c r="H25" s="148">
        <v>4277</v>
      </c>
      <c r="I25" s="213">
        <v>105</v>
      </c>
      <c r="J25" s="204"/>
      <c r="K25" s="91">
        <f t="shared" si="1"/>
        <v>4382</v>
      </c>
      <c r="L25" s="92">
        <f t="shared" si="3"/>
        <v>122.071999999999</v>
      </c>
      <c r="M25" s="93" t="s">
        <v>113</v>
      </c>
      <c r="N25" s="96"/>
      <c r="O25" s="98"/>
    </row>
    <row r="26" ht="16.5" spans="1:15">
      <c r="A26" s="25">
        <v>45037</v>
      </c>
      <c r="B26" s="26">
        <f t="shared" si="2"/>
        <v>122.071999999999</v>
      </c>
      <c r="C26" s="141">
        <v>1823.2375</v>
      </c>
      <c r="D26" s="149"/>
      <c r="E26" s="152"/>
      <c r="F26" s="147">
        <v>1574</v>
      </c>
      <c r="G26" s="148">
        <v>16</v>
      </c>
      <c r="H26" s="148">
        <v>1558</v>
      </c>
      <c r="I26" s="213">
        <v>12.5</v>
      </c>
      <c r="J26" s="204"/>
      <c r="K26" s="91">
        <f t="shared" si="1"/>
        <v>1570.5</v>
      </c>
      <c r="L26" s="92">
        <f t="shared" si="3"/>
        <v>374.809499999999</v>
      </c>
      <c r="M26" s="93" t="s">
        <v>114</v>
      </c>
      <c r="N26" s="96"/>
      <c r="O26" s="98"/>
    </row>
    <row r="27" ht="16.5" spans="1:16">
      <c r="A27" s="25">
        <v>45038</v>
      </c>
      <c r="B27" s="26">
        <f t="shared" si="2"/>
        <v>374.809499999999</v>
      </c>
      <c r="C27" s="141"/>
      <c r="D27" s="149"/>
      <c r="E27" s="152"/>
      <c r="F27" s="147"/>
      <c r="G27" s="148">
        <v>5</v>
      </c>
      <c r="H27" s="148">
        <v>365</v>
      </c>
      <c r="I27" s="213"/>
      <c r="J27" s="204"/>
      <c r="K27" s="91">
        <f t="shared" si="1"/>
        <v>365</v>
      </c>
      <c r="L27" s="92">
        <f t="shared" si="3"/>
        <v>9.80949999999916</v>
      </c>
      <c r="M27" s="93" t="s">
        <v>53</v>
      </c>
      <c r="N27" s="96"/>
      <c r="O27" s="98"/>
      <c r="P27" s="100"/>
    </row>
    <row r="28" s="269" customFormat="1" ht="16.5" spans="1:32">
      <c r="A28" s="25">
        <v>45039</v>
      </c>
      <c r="B28" s="26">
        <f t="shared" si="2"/>
        <v>9.80949999999916</v>
      </c>
      <c r="C28" s="141"/>
      <c r="D28" s="149"/>
      <c r="E28" s="152"/>
      <c r="F28" s="147"/>
      <c r="G28" s="148"/>
      <c r="H28" s="148"/>
      <c r="I28" s="203"/>
      <c r="J28" s="204"/>
      <c r="K28" s="91">
        <f t="shared" si="1"/>
        <v>0</v>
      </c>
      <c r="L28" s="92">
        <f t="shared" si="3"/>
        <v>9.80949999999916</v>
      </c>
      <c r="M28" s="93"/>
      <c r="N28" s="96"/>
      <c r="O28" s="98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ht="16.5" spans="1:15">
      <c r="A29" s="25">
        <v>45040</v>
      </c>
      <c r="B29" s="26">
        <f t="shared" si="2"/>
        <v>9.80949999999916</v>
      </c>
      <c r="C29" s="141">
        <v>2270.63</v>
      </c>
      <c r="D29" s="149"/>
      <c r="E29" s="152"/>
      <c r="F29" s="147">
        <v>1743</v>
      </c>
      <c r="G29" s="148">
        <v>43</v>
      </c>
      <c r="H29" s="148">
        <v>1700</v>
      </c>
      <c r="I29" s="213">
        <v>28.3</v>
      </c>
      <c r="J29" s="204"/>
      <c r="K29" s="91">
        <f t="shared" si="1"/>
        <v>1728.3</v>
      </c>
      <c r="L29" s="92">
        <f t="shared" si="3"/>
        <v>552.1395</v>
      </c>
      <c r="M29" s="93" t="s">
        <v>90</v>
      </c>
      <c r="N29" s="96"/>
      <c r="O29" s="98"/>
    </row>
    <row r="30" ht="16.5" spans="1:15">
      <c r="A30" s="25">
        <v>45041</v>
      </c>
      <c r="B30" s="26">
        <f t="shared" si="2"/>
        <v>552.1395</v>
      </c>
      <c r="C30" s="141"/>
      <c r="D30" s="149"/>
      <c r="E30" s="152"/>
      <c r="F30" s="147">
        <v>538</v>
      </c>
      <c r="G30" s="148">
        <v>13</v>
      </c>
      <c r="H30" s="148">
        <v>525</v>
      </c>
      <c r="I30" s="213">
        <v>8.5</v>
      </c>
      <c r="J30" s="204"/>
      <c r="K30" s="91">
        <f t="shared" si="1"/>
        <v>533.5</v>
      </c>
      <c r="L30" s="92">
        <f t="shared" si="3"/>
        <v>18.6394999999995</v>
      </c>
      <c r="M30" s="93"/>
      <c r="N30" s="96"/>
      <c r="O30" s="98"/>
    </row>
    <row r="31" ht="16.5" spans="1:15">
      <c r="A31" s="25">
        <v>45042</v>
      </c>
      <c r="B31" s="26">
        <f t="shared" si="2"/>
        <v>18.6394999999995</v>
      </c>
      <c r="C31" s="149">
        <v>13916.5375</v>
      </c>
      <c r="D31" s="149"/>
      <c r="E31" s="152"/>
      <c r="F31" s="147">
        <v>8551</v>
      </c>
      <c r="G31" s="148">
        <v>478</v>
      </c>
      <c r="H31" s="148">
        <v>8073</v>
      </c>
      <c r="I31" s="213">
        <v>81</v>
      </c>
      <c r="J31" s="204"/>
      <c r="K31" s="91">
        <f t="shared" si="1"/>
        <v>8154</v>
      </c>
      <c r="L31" s="92">
        <f t="shared" si="3"/>
        <v>5781.177</v>
      </c>
      <c r="M31" s="93" t="s">
        <v>74</v>
      </c>
      <c r="N31" s="96"/>
      <c r="O31" s="98"/>
    </row>
    <row r="32" ht="16.5" spans="1:15">
      <c r="A32" s="25">
        <v>45043</v>
      </c>
      <c r="B32" s="26">
        <f t="shared" si="2"/>
        <v>5781.177</v>
      </c>
      <c r="C32" s="274">
        <f>13677.68+1543.22+12+100+100+110.23+55.115</f>
        <v>15598.245</v>
      </c>
      <c r="D32" s="149">
        <v>330.69</v>
      </c>
      <c r="E32" s="152"/>
      <c r="F32" s="147">
        <v>14176</v>
      </c>
      <c r="G32" s="148">
        <v>730</v>
      </c>
      <c r="H32" s="148">
        <v>13446</v>
      </c>
      <c r="I32" s="213">
        <v>48</v>
      </c>
      <c r="J32" s="204">
        <v>36</v>
      </c>
      <c r="K32" s="91">
        <f t="shared" si="1"/>
        <v>13494</v>
      </c>
      <c r="L32" s="92">
        <f t="shared" si="3"/>
        <v>7554.732</v>
      </c>
      <c r="M32" s="93" t="s">
        <v>85</v>
      </c>
      <c r="N32" s="96"/>
      <c r="O32" s="98"/>
    </row>
    <row r="33" ht="16.5" spans="1:16">
      <c r="A33" s="25">
        <v>45044</v>
      </c>
      <c r="B33" s="26">
        <f t="shared" si="2"/>
        <v>7554.732</v>
      </c>
      <c r="C33" s="275">
        <f>13172.485</f>
        <v>13172.485</v>
      </c>
      <c r="D33" s="149">
        <v>688.9</v>
      </c>
      <c r="E33" s="152"/>
      <c r="F33" s="147">
        <v>14798</v>
      </c>
      <c r="G33" s="148">
        <v>890</v>
      </c>
      <c r="H33" s="148">
        <v>13888</v>
      </c>
      <c r="I33" s="213">
        <v>73.2</v>
      </c>
      <c r="J33" s="204">
        <v>50</v>
      </c>
      <c r="K33" s="91">
        <f t="shared" si="1"/>
        <v>13961.2</v>
      </c>
      <c r="L33" s="92">
        <f t="shared" si="3"/>
        <v>6077.117</v>
      </c>
      <c r="M33" s="93" t="s">
        <v>85</v>
      </c>
      <c r="N33" s="96"/>
      <c r="O33" s="98"/>
      <c r="P33" s="100"/>
    </row>
    <row r="34" s="1" customFormat="1" ht="16.5" spans="1:15">
      <c r="A34" s="25">
        <v>45045</v>
      </c>
      <c r="B34" s="26">
        <f t="shared" si="2"/>
        <v>6077.117</v>
      </c>
      <c r="C34" s="274">
        <v>3186.44</v>
      </c>
      <c r="D34" s="149">
        <v>981.84</v>
      </c>
      <c r="E34" s="152"/>
      <c r="F34" s="147">
        <v>7168</v>
      </c>
      <c r="G34" s="148">
        <v>384</v>
      </c>
      <c r="H34" s="148">
        <v>6784</v>
      </c>
      <c r="I34" s="213"/>
      <c r="J34" s="204"/>
      <c r="K34" s="91">
        <f t="shared" si="1"/>
        <v>6784</v>
      </c>
      <c r="L34" s="92">
        <f t="shared" si="3"/>
        <v>1497.717</v>
      </c>
      <c r="M34" s="93" t="s">
        <v>57</v>
      </c>
      <c r="N34" s="96"/>
      <c r="O34" s="102"/>
    </row>
    <row r="35" ht="16.5" spans="1:15">
      <c r="A35" s="25">
        <v>45046</v>
      </c>
      <c r="B35" s="26">
        <f t="shared" si="2"/>
        <v>1497.717</v>
      </c>
      <c r="C35" s="274"/>
      <c r="D35" s="149"/>
      <c r="E35" s="152"/>
      <c r="F35" s="147"/>
      <c r="G35" s="148"/>
      <c r="H35" s="148"/>
      <c r="I35" s="203"/>
      <c r="J35" s="204"/>
      <c r="K35" s="91">
        <f t="shared" si="1"/>
        <v>0</v>
      </c>
      <c r="L35" s="92">
        <f t="shared" si="3"/>
        <v>1497.717</v>
      </c>
      <c r="M35" s="93"/>
      <c r="N35" s="96"/>
      <c r="O35" s="98"/>
    </row>
    <row r="36" ht="18" customHeight="1" spans="1:15">
      <c r="A36" s="25"/>
      <c r="B36" s="26"/>
      <c r="C36" s="42"/>
      <c r="D36" s="240"/>
      <c r="E36" s="240"/>
      <c r="F36" s="28"/>
      <c r="G36" s="29"/>
      <c r="H36" s="29"/>
      <c r="I36" s="89"/>
      <c r="J36" s="103"/>
      <c r="K36" s="91"/>
      <c r="L36" s="92"/>
      <c r="M36" s="104"/>
      <c r="N36" s="96"/>
      <c r="O36" s="105"/>
    </row>
    <row r="37" ht="15" spans="1:15">
      <c r="A37" s="43"/>
      <c r="B37" s="44"/>
      <c r="C37" s="45">
        <f t="shared" ref="C37:K37" si="4">SUM(C5:C36)</f>
        <v>123683.349</v>
      </c>
      <c r="D37" s="242">
        <f t="shared" si="4"/>
        <v>2379.212</v>
      </c>
      <c r="E37" s="243">
        <f t="shared" si="4"/>
        <v>39.3</v>
      </c>
      <c r="F37" s="48">
        <f t="shared" si="4"/>
        <v>125983</v>
      </c>
      <c r="G37" s="49">
        <f t="shared" si="4"/>
        <v>5536</v>
      </c>
      <c r="H37" s="48">
        <f t="shared" si="4"/>
        <v>120794</v>
      </c>
      <c r="I37" s="49">
        <f t="shared" si="4"/>
        <v>1239.6</v>
      </c>
      <c r="J37" s="49"/>
      <c r="K37" s="106">
        <f t="shared" si="4"/>
        <v>122033.6</v>
      </c>
      <c r="L37" s="107">
        <f>SUM(B5+C37-D37-E37-K37)</f>
        <v>1497.71699999999</v>
      </c>
      <c r="M37" s="107"/>
      <c r="N37" s="108"/>
      <c r="O37" s="109"/>
    </row>
    <row r="39" ht="17.25" spans="1:11">
      <c r="A39" s="50" t="s">
        <v>20</v>
      </c>
      <c r="B39" s="51"/>
      <c r="C39" s="52" t="s">
        <v>21</v>
      </c>
      <c r="D39" s="53" t="s">
        <v>22</v>
      </c>
      <c r="H39" s="50" t="s">
        <v>23</v>
      </c>
      <c r="I39" s="59" t="s">
        <v>24</v>
      </c>
      <c r="K39" s="50" t="s">
        <v>25</v>
      </c>
    </row>
    <row r="40" ht="15" spans="11:13">
      <c r="K40" s="110" t="s">
        <v>115</v>
      </c>
      <c r="L40" s="111">
        <f>L37</f>
        <v>1497.71699999999</v>
      </c>
      <c r="M40" s="112" t="s">
        <v>27</v>
      </c>
    </row>
    <row r="41" spans="12:13">
      <c r="L41" s="114"/>
      <c r="M41" s="114"/>
    </row>
    <row r="42" ht="15" spans="2:12">
      <c r="B42" s="54"/>
      <c r="K42" s="113" t="s">
        <v>28</v>
      </c>
      <c r="L42" s="115"/>
    </row>
    <row r="43" spans="1:3">
      <c r="A43" s="55" t="s">
        <v>29</v>
      </c>
      <c r="B43" s="56" t="s">
        <v>30</v>
      </c>
      <c r="C43" s="57">
        <v>19</v>
      </c>
    </row>
    <row r="44" spans="1:3">
      <c r="A44" s="59" t="s">
        <v>31</v>
      </c>
      <c r="B44" s="60" t="s">
        <v>32</v>
      </c>
      <c r="C44" s="61">
        <f>(C37+B5)/C43</f>
        <v>6628.93836842105</v>
      </c>
    </row>
    <row r="45" spans="1:3">
      <c r="A45" s="59" t="s">
        <v>33</v>
      </c>
      <c r="B45" s="60" t="s">
        <v>34</v>
      </c>
      <c r="C45" s="61">
        <f>(B5+C37-D37)/C43</f>
        <v>6503.71668421053</v>
      </c>
    </row>
    <row r="46" ht="15" spans="1:8">
      <c r="A46" s="59" t="s">
        <v>23</v>
      </c>
      <c r="B46" s="60" t="s">
        <v>35</v>
      </c>
      <c r="C46" s="61">
        <f>H37/C43</f>
        <v>6357.57894736842</v>
      </c>
      <c r="D46" s="62" t="s">
        <v>36</v>
      </c>
      <c r="E46" s="62"/>
      <c r="F46" s="63"/>
      <c r="G46" s="64"/>
      <c r="H46" s="3" t="s">
        <v>37</v>
      </c>
    </row>
    <row r="47" ht="17.25" spans="1:6">
      <c r="A47" s="59" t="s">
        <v>25</v>
      </c>
      <c r="B47" s="60" t="s">
        <v>38</v>
      </c>
      <c r="C47" s="61">
        <f>(K37)/C43</f>
        <v>6422.82105263158</v>
      </c>
      <c r="D47" s="65" t="s">
        <v>39</v>
      </c>
      <c r="E47" s="66">
        <f>(C45-C47)</f>
        <v>80.8956315789464</v>
      </c>
      <c r="F47" s="67"/>
    </row>
    <row r="48" ht="17.25" spans="1:5">
      <c r="A48" s="59" t="s">
        <v>24</v>
      </c>
      <c r="B48" s="68" t="s">
        <v>40</v>
      </c>
      <c r="C48" s="69">
        <f>(I37/H37)</f>
        <v>0.010262099110883</v>
      </c>
      <c r="D48" s="70" t="s">
        <v>39</v>
      </c>
      <c r="E48" s="71">
        <f>E47/C45</f>
        <v>0.0124383695518813</v>
      </c>
    </row>
  </sheetData>
  <mergeCells count="12">
    <mergeCell ref="A1:O1"/>
    <mergeCell ref="F3:I3"/>
    <mergeCell ref="A3:A4"/>
    <mergeCell ref="B3:B4"/>
    <mergeCell ref="C3:C4"/>
    <mergeCell ref="D3:D4"/>
    <mergeCell ref="E3:E4"/>
    <mergeCell ref="K3:K4"/>
    <mergeCell ref="L3:L4"/>
    <mergeCell ref="M3:M4"/>
    <mergeCell ref="N3:N4"/>
    <mergeCell ref="O3:O5"/>
  </mergeCells>
  <pageMargins left="0.196527777777778" right="0.196527777777778" top="0.236111111111111" bottom="0.275" header="0.156944444444444" footer="0.236111111111111"/>
  <pageSetup paperSize="9" scale="70" orientation="landscape" horizontalDpi="600" verticalDpi="300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9"/>
  <sheetViews>
    <sheetView topLeftCell="A28" workbookViewId="0">
      <selection activeCell="E47" sqref="E47"/>
    </sheetView>
  </sheetViews>
  <sheetFormatPr defaultColWidth="10.4416666666667" defaultRowHeight="14.25"/>
  <cols>
    <col min="1" max="1" width="13" style="3" customWidth="1"/>
    <col min="2" max="2" width="17.3333333333333" style="3" customWidth="1"/>
    <col min="3" max="3" width="13.5" style="3" customWidth="1"/>
    <col min="4" max="4" width="11.4416666666667" style="58" customWidth="1"/>
    <col min="5" max="5" width="10.5583333333333" style="3" customWidth="1"/>
    <col min="6" max="6" width="12.875" style="3" customWidth="1"/>
    <col min="7" max="7" width="11.775" style="3" customWidth="1"/>
    <col min="8" max="8" width="12.625" style="3" customWidth="1"/>
    <col min="9" max="9" width="11.775" style="3" customWidth="1"/>
    <col min="10" max="10" width="15.775" style="3" customWidth="1"/>
    <col min="11" max="11" width="15" style="3" customWidth="1"/>
    <col min="12" max="12" width="12.4416666666667" style="3" customWidth="1"/>
    <col min="13" max="13" width="10.6666666666667" style="3" customWidth="1"/>
    <col min="14" max="14" width="14" style="231" customWidth="1"/>
    <col min="15" max="15" width="9.88333333333333" style="3" customWidth="1"/>
    <col min="16" max="16" width="46.6666666666667" style="2" customWidth="1"/>
    <col min="17" max="16384" width="10.4416666666667" style="2"/>
  </cols>
  <sheetData>
    <row r="1" ht="30" spans="1:15">
      <c r="A1" s="232" t="s">
        <v>116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</row>
    <row r="2" ht="20.25" spans="1:12">
      <c r="A2" s="233" t="s">
        <v>1</v>
      </c>
      <c r="L2" s="3" t="s">
        <v>2</v>
      </c>
    </row>
    <row r="3" ht="16.2" customHeight="1" spans="1:16">
      <c r="A3" s="74" t="s">
        <v>3</v>
      </c>
      <c r="B3" s="10" t="s">
        <v>4</v>
      </c>
      <c r="C3" s="11" t="s">
        <v>5</v>
      </c>
      <c r="D3" s="74" t="s">
        <v>6</v>
      </c>
      <c r="E3" s="74" t="s">
        <v>7</v>
      </c>
      <c r="F3" s="12" t="s">
        <v>8</v>
      </c>
      <c r="G3" s="13"/>
      <c r="H3" s="13"/>
      <c r="I3" s="13"/>
      <c r="J3" s="72"/>
      <c r="K3" s="73" t="s">
        <v>9</v>
      </c>
      <c r="L3" s="74" t="s">
        <v>10</v>
      </c>
      <c r="M3" s="74" t="s">
        <v>11</v>
      </c>
      <c r="N3" s="244" t="s">
        <v>12</v>
      </c>
      <c r="O3" s="245" t="s">
        <v>13</v>
      </c>
      <c r="P3" s="9" t="s">
        <v>117</v>
      </c>
    </row>
    <row r="4" ht="15" spans="1:16">
      <c r="A4" s="80"/>
      <c r="B4" s="15"/>
      <c r="C4" s="16"/>
      <c r="D4" s="80"/>
      <c r="E4" s="80"/>
      <c r="F4" s="17" t="s">
        <v>14</v>
      </c>
      <c r="G4" s="18" t="s">
        <v>15</v>
      </c>
      <c r="H4" s="18" t="s">
        <v>16</v>
      </c>
      <c r="I4" s="77" t="s">
        <v>17</v>
      </c>
      <c r="J4" s="78" t="s">
        <v>18</v>
      </c>
      <c r="K4" s="79"/>
      <c r="L4" s="80"/>
      <c r="M4" s="80"/>
      <c r="N4" s="246"/>
      <c r="O4" s="247"/>
      <c r="P4" s="14"/>
    </row>
    <row r="5" ht="16.5" spans="1:16">
      <c r="A5" s="234" t="s">
        <v>19</v>
      </c>
      <c r="B5" s="26">
        <v>4171.9165</v>
      </c>
      <c r="C5" s="136"/>
      <c r="D5" s="127"/>
      <c r="E5" s="127"/>
      <c r="F5" s="138"/>
      <c r="G5" s="139"/>
      <c r="H5" s="139"/>
      <c r="I5" s="197"/>
      <c r="J5" s="186"/>
      <c r="K5" s="84"/>
      <c r="L5" s="248">
        <f t="shared" ref="L5" si="0">SUM(V4)</f>
        <v>0</v>
      </c>
      <c r="M5" s="249"/>
      <c r="N5" s="250"/>
      <c r="O5" s="251"/>
      <c r="P5" s="252"/>
    </row>
    <row r="6" ht="16.5" spans="1:16">
      <c r="A6" s="25">
        <v>44986</v>
      </c>
      <c r="B6" s="26">
        <f>B5</f>
        <v>4171.9165</v>
      </c>
      <c r="C6" s="141">
        <f>8046.79+10940.3275</f>
        <v>18987.1175</v>
      </c>
      <c r="D6" s="235"/>
      <c r="E6" s="235"/>
      <c r="F6" s="143">
        <v>14823</v>
      </c>
      <c r="G6" s="144">
        <v>600</v>
      </c>
      <c r="H6" s="144">
        <v>14223</v>
      </c>
      <c r="I6" s="203">
        <v>155</v>
      </c>
      <c r="J6" s="204"/>
      <c r="K6" s="91">
        <f>SUM(H6+I6)</f>
        <v>14378</v>
      </c>
      <c r="L6" s="92">
        <f>B6+C6-D6-E6-K6</f>
        <v>8781.034</v>
      </c>
      <c r="M6" s="93" t="s">
        <v>92</v>
      </c>
      <c r="N6" s="253"/>
      <c r="O6" s="254"/>
      <c r="P6" s="255"/>
    </row>
    <row r="7" ht="16.5" spans="1:16">
      <c r="A7" s="25">
        <v>44987</v>
      </c>
      <c r="B7" s="26">
        <f>L6</f>
        <v>8781.034</v>
      </c>
      <c r="C7" s="141">
        <v>2039.14</v>
      </c>
      <c r="D7" s="236"/>
      <c r="E7" s="237"/>
      <c r="F7" s="143">
        <v>9055</v>
      </c>
      <c r="G7" s="144">
        <v>383</v>
      </c>
      <c r="H7" s="144">
        <v>8672</v>
      </c>
      <c r="I7" s="203"/>
      <c r="J7" s="204"/>
      <c r="K7" s="91">
        <f t="shared" ref="K7:K36" si="1">SUM(H7+I7)</f>
        <v>8672</v>
      </c>
      <c r="L7" s="92">
        <f t="shared" ref="L7:L36" si="2">B7+C7-D7-E7-K7</f>
        <v>2148.174</v>
      </c>
      <c r="M7" s="93" t="s">
        <v>85</v>
      </c>
      <c r="N7" s="256"/>
      <c r="O7" s="257"/>
      <c r="P7" s="255"/>
    </row>
    <row r="8" ht="16.5" spans="1:16">
      <c r="A8" s="25">
        <v>44988</v>
      </c>
      <c r="B8" s="26">
        <f t="shared" ref="B8:B36" si="3">L7</f>
        <v>2148.174</v>
      </c>
      <c r="C8" s="141">
        <v>1665.8925</v>
      </c>
      <c r="D8" s="236"/>
      <c r="E8" s="237"/>
      <c r="F8" s="143">
        <v>3078</v>
      </c>
      <c r="G8" s="144">
        <v>70</v>
      </c>
      <c r="H8" s="144">
        <v>3008</v>
      </c>
      <c r="I8" s="203">
        <v>84.5</v>
      </c>
      <c r="J8" s="204">
        <v>63</v>
      </c>
      <c r="K8" s="91">
        <f t="shared" si="1"/>
        <v>3092.5</v>
      </c>
      <c r="L8" s="92">
        <f t="shared" si="2"/>
        <v>721.566499999999</v>
      </c>
      <c r="M8" s="93" t="s">
        <v>70</v>
      </c>
      <c r="N8" s="256"/>
      <c r="O8" s="41"/>
      <c r="P8" s="255"/>
    </row>
    <row r="9" ht="16.5" spans="1:16">
      <c r="A9" s="25">
        <v>44989</v>
      </c>
      <c r="B9" s="26">
        <f t="shared" si="3"/>
        <v>721.566499999999</v>
      </c>
      <c r="C9" s="141">
        <f>2155.14+30.1</f>
        <v>2185.24</v>
      </c>
      <c r="D9" s="149"/>
      <c r="E9" s="152"/>
      <c r="F9" s="143">
        <v>1516</v>
      </c>
      <c r="G9" s="144">
        <v>30</v>
      </c>
      <c r="H9" s="144">
        <v>1486</v>
      </c>
      <c r="I9" s="203"/>
      <c r="J9" s="204"/>
      <c r="K9" s="91">
        <f t="shared" si="1"/>
        <v>1486</v>
      </c>
      <c r="L9" s="92">
        <f t="shared" si="2"/>
        <v>1420.8065</v>
      </c>
      <c r="M9" s="93" t="s">
        <v>70</v>
      </c>
      <c r="N9" s="256"/>
      <c r="O9" s="41"/>
      <c r="P9" s="255"/>
    </row>
    <row r="10" ht="16.5" spans="1:16">
      <c r="A10" s="25">
        <v>44990</v>
      </c>
      <c r="B10" s="26">
        <f t="shared" si="3"/>
        <v>1420.8065</v>
      </c>
      <c r="C10" s="141"/>
      <c r="D10" s="149"/>
      <c r="E10" s="152"/>
      <c r="F10" s="147"/>
      <c r="G10" s="148"/>
      <c r="H10" s="148"/>
      <c r="I10" s="213"/>
      <c r="J10" s="204"/>
      <c r="K10" s="91">
        <f t="shared" si="1"/>
        <v>0</v>
      </c>
      <c r="L10" s="92">
        <f t="shared" si="2"/>
        <v>1420.8065</v>
      </c>
      <c r="M10" s="93"/>
      <c r="N10" s="256"/>
      <c r="O10" s="41"/>
      <c r="P10" s="258"/>
    </row>
    <row r="11" ht="16.5" spans="1:16">
      <c r="A11" s="25">
        <v>44991</v>
      </c>
      <c r="B11" s="26">
        <f t="shared" si="3"/>
        <v>1420.8065</v>
      </c>
      <c r="C11" s="141">
        <v>2149.485</v>
      </c>
      <c r="D11" s="172"/>
      <c r="E11" s="152"/>
      <c r="F11" s="147">
        <v>1920</v>
      </c>
      <c r="G11" s="148">
        <v>31</v>
      </c>
      <c r="H11" s="148">
        <v>1889</v>
      </c>
      <c r="I11" s="213">
        <v>79</v>
      </c>
      <c r="J11" s="204"/>
      <c r="K11" s="91">
        <f t="shared" si="1"/>
        <v>1968</v>
      </c>
      <c r="L11" s="92">
        <f t="shared" si="2"/>
        <v>1602.2915</v>
      </c>
      <c r="M11" s="93" t="s">
        <v>118</v>
      </c>
      <c r="N11" s="256"/>
      <c r="O11" s="41"/>
      <c r="P11" s="255"/>
    </row>
    <row r="12" ht="16.5" spans="1:16">
      <c r="A12" s="25">
        <v>44992</v>
      </c>
      <c r="B12" s="26">
        <f t="shared" si="3"/>
        <v>1602.2915</v>
      </c>
      <c r="C12" s="141">
        <v>205.345</v>
      </c>
      <c r="D12" s="149"/>
      <c r="E12" s="152"/>
      <c r="F12" s="147">
        <v>2061</v>
      </c>
      <c r="G12" s="148">
        <v>30</v>
      </c>
      <c r="H12" s="148">
        <v>2031</v>
      </c>
      <c r="I12" s="213">
        <v>24</v>
      </c>
      <c r="J12" s="204"/>
      <c r="K12" s="91">
        <f t="shared" si="1"/>
        <v>2055</v>
      </c>
      <c r="L12" s="92">
        <f t="shared" si="2"/>
        <v>-247.363500000001</v>
      </c>
      <c r="M12" s="93" t="s">
        <v>102</v>
      </c>
      <c r="N12" s="256"/>
      <c r="O12" s="41"/>
      <c r="P12" s="255"/>
    </row>
    <row r="13" ht="16.5" spans="1:16">
      <c r="A13" s="25">
        <v>44993</v>
      </c>
      <c r="B13" s="26">
        <f t="shared" si="3"/>
        <v>-247.363500000001</v>
      </c>
      <c r="C13" s="141"/>
      <c r="D13" s="149"/>
      <c r="E13" s="152"/>
      <c r="F13" s="147"/>
      <c r="G13" s="148"/>
      <c r="H13" s="148"/>
      <c r="I13" s="213"/>
      <c r="J13" s="204"/>
      <c r="K13" s="91">
        <f t="shared" si="1"/>
        <v>0</v>
      </c>
      <c r="L13" s="92">
        <f t="shared" si="2"/>
        <v>-247.363500000001</v>
      </c>
      <c r="M13" s="93"/>
      <c r="N13" s="256"/>
      <c r="O13" s="41"/>
      <c r="P13" s="255"/>
    </row>
    <row r="14" ht="16.5" spans="1:16">
      <c r="A14" s="25">
        <v>44994</v>
      </c>
      <c r="B14" s="26">
        <f t="shared" si="3"/>
        <v>-247.363500000001</v>
      </c>
      <c r="C14" s="141"/>
      <c r="D14" s="149"/>
      <c r="E14" s="152"/>
      <c r="F14" s="147"/>
      <c r="G14" s="148"/>
      <c r="H14" s="148"/>
      <c r="I14" s="213"/>
      <c r="J14" s="204"/>
      <c r="K14" s="91">
        <f t="shared" si="1"/>
        <v>0</v>
      </c>
      <c r="L14" s="92">
        <f t="shared" si="2"/>
        <v>-247.363500000001</v>
      </c>
      <c r="M14" s="93"/>
      <c r="N14" s="256"/>
      <c r="O14" s="41"/>
      <c r="P14" s="255"/>
    </row>
    <row r="15" ht="16.5" spans="1:16">
      <c r="A15" s="25">
        <v>44995</v>
      </c>
      <c r="B15" s="26">
        <f t="shared" si="3"/>
        <v>-247.363500000001</v>
      </c>
      <c r="C15" s="141">
        <v>9975.82</v>
      </c>
      <c r="D15" s="149"/>
      <c r="E15" s="238">
        <v>6.2</v>
      </c>
      <c r="F15" s="147">
        <v>87096</v>
      </c>
      <c r="G15" s="148">
        <v>576</v>
      </c>
      <c r="H15" s="148">
        <v>8113</v>
      </c>
      <c r="I15" s="213">
        <v>158.5</v>
      </c>
      <c r="J15" s="204"/>
      <c r="K15" s="91">
        <f t="shared" si="1"/>
        <v>8271.5</v>
      </c>
      <c r="L15" s="92">
        <f t="shared" si="2"/>
        <v>1450.7565</v>
      </c>
      <c r="M15" s="93" t="s">
        <v>119</v>
      </c>
      <c r="N15" s="256"/>
      <c r="O15" s="41"/>
      <c r="P15" s="255"/>
    </row>
    <row r="16" ht="16.5" spans="1:16">
      <c r="A16" s="25">
        <v>44996</v>
      </c>
      <c r="B16" s="26">
        <f t="shared" si="3"/>
        <v>1450.7565</v>
      </c>
      <c r="C16" s="141">
        <v>13034.6975</v>
      </c>
      <c r="D16" s="149"/>
      <c r="E16" s="239"/>
      <c r="F16" s="147">
        <v>11666</v>
      </c>
      <c r="G16" s="148">
        <v>869</v>
      </c>
      <c r="H16" s="148">
        <v>10797</v>
      </c>
      <c r="I16" s="213">
        <v>39</v>
      </c>
      <c r="J16" s="204">
        <v>63</v>
      </c>
      <c r="K16" s="91">
        <f t="shared" si="1"/>
        <v>10836</v>
      </c>
      <c r="L16" s="92">
        <f t="shared" si="2"/>
        <v>3649.454</v>
      </c>
      <c r="M16" s="93" t="s">
        <v>120</v>
      </c>
      <c r="N16" s="256"/>
      <c r="O16" s="41"/>
      <c r="P16" s="255"/>
    </row>
    <row r="17" ht="16.5" spans="1:16">
      <c r="A17" s="25">
        <v>44997</v>
      </c>
      <c r="B17" s="26">
        <f t="shared" si="3"/>
        <v>3649.454</v>
      </c>
      <c r="C17" s="141">
        <v>3760.705</v>
      </c>
      <c r="D17" s="149"/>
      <c r="E17" s="152"/>
      <c r="F17" s="147">
        <v>7612</v>
      </c>
      <c r="G17" s="148">
        <v>468</v>
      </c>
      <c r="H17" s="148">
        <v>7144</v>
      </c>
      <c r="I17" s="213">
        <v>23.5</v>
      </c>
      <c r="J17" s="204"/>
      <c r="K17" s="91">
        <f t="shared" si="1"/>
        <v>7167.5</v>
      </c>
      <c r="L17" s="92">
        <f t="shared" si="2"/>
        <v>242.658999999998</v>
      </c>
      <c r="M17" s="93" t="s">
        <v>99</v>
      </c>
      <c r="N17" s="256"/>
      <c r="O17" s="41"/>
      <c r="P17" s="255"/>
    </row>
    <row r="18" ht="16.5" spans="1:16">
      <c r="A18" s="25">
        <v>44998</v>
      </c>
      <c r="B18" s="26">
        <f t="shared" si="3"/>
        <v>242.658999999998</v>
      </c>
      <c r="C18" s="141">
        <f>3795.1475+3196.67</f>
        <v>6991.8175</v>
      </c>
      <c r="D18" s="149"/>
      <c r="E18" s="152"/>
      <c r="F18" s="147">
        <v>5853</v>
      </c>
      <c r="G18" s="148">
        <v>99</v>
      </c>
      <c r="H18" s="148">
        <v>5754</v>
      </c>
      <c r="I18" s="213">
        <v>46.5</v>
      </c>
      <c r="J18" s="204">
        <v>46</v>
      </c>
      <c r="K18" s="91">
        <f t="shared" si="1"/>
        <v>5800.5</v>
      </c>
      <c r="L18" s="92">
        <f t="shared" si="2"/>
        <v>1433.9765</v>
      </c>
      <c r="M18" s="93" t="s">
        <v>121</v>
      </c>
      <c r="N18" s="256"/>
      <c r="O18" s="41"/>
      <c r="P18" s="258"/>
    </row>
    <row r="19" ht="16.5" spans="1:16">
      <c r="A19" s="25">
        <v>44999</v>
      </c>
      <c r="B19" s="26">
        <f t="shared" si="3"/>
        <v>1433.9765</v>
      </c>
      <c r="C19" s="141">
        <f>5316.4825+2039.255+100</f>
        <v>7455.7375</v>
      </c>
      <c r="D19" s="149"/>
      <c r="E19" s="152"/>
      <c r="F19" s="147">
        <v>6697</v>
      </c>
      <c r="G19" s="148">
        <v>93</v>
      </c>
      <c r="H19" s="148">
        <v>6604</v>
      </c>
      <c r="I19" s="213">
        <v>62</v>
      </c>
      <c r="J19" s="204"/>
      <c r="K19" s="91">
        <f t="shared" si="1"/>
        <v>6666</v>
      </c>
      <c r="L19" s="92">
        <f t="shared" si="2"/>
        <v>2223.714</v>
      </c>
      <c r="M19" s="93" t="s">
        <v>122</v>
      </c>
      <c r="N19" s="256"/>
      <c r="O19" s="41"/>
      <c r="P19" s="255"/>
    </row>
    <row r="20" ht="16.5" spans="1:16">
      <c r="A20" s="25">
        <v>45000</v>
      </c>
      <c r="B20" s="26">
        <f t="shared" si="3"/>
        <v>2223.714</v>
      </c>
      <c r="C20" s="141">
        <f>1998.795+1267.645</f>
        <v>3266.44</v>
      </c>
      <c r="D20" s="149"/>
      <c r="E20" s="152"/>
      <c r="F20" s="147">
        <v>4372</v>
      </c>
      <c r="G20" s="148">
        <v>78</v>
      </c>
      <c r="H20" s="148">
        <v>4294</v>
      </c>
      <c r="I20" s="213">
        <v>36.5</v>
      </c>
      <c r="J20" s="204">
        <v>44</v>
      </c>
      <c r="K20" s="91">
        <f t="shared" si="1"/>
        <v>4330.5</v>
      </c>
      <c r="L20" s="92">
        <f t="shared" si="2"/>
        <v>1159.654</v>
      </c>
      <c r="M20" s="93" t="s">
        <v>78</v>
      </c>
      <c r="N20" s="256"/>
      <c r="O20" s="41"/>
      <c r="P20" s="255"/>
    </row>
    <row r="21" ht="16.5" spans="1:16">
      <c r="A21" s="25">
        <v>45001</v>
      </c>
      <c r="B21" s="26">
        <f t="shared" si="3"/>
        <v>1159.654</v>
      </c>
      <c r="C21" s="141">
        <v>3006.635</v>
      </c>
      <c r="D21" s="149"/>
      <c r="E21" s="152"/>
      <c r="F21" s="147">
        <v>2954</v>
      </c>
      <c r="G21" s="148">
        <v>62</v>
      </c>
      <c r="H21" s="148">
        <v>2892</v>
      </c>
      <c r="I21" s="213">
        <v>22.5</v>
      </c>
      <c r="J21" s="204"/>
      <c r="K21" s="91">
        <f t="shared" si="1"/>
        <v>2914.5</v>
      </c>
      <c r="L21" s="92">
        <f t="shared" si="2"/>
        <v>1251.789</v>
      </c>
      <c r="M21" s="93" t="s">
        <v>78</v>
      </c>
      <c r="N21" s="256"/>
      <c r="O21" s="41"/>
      <c r="P21" s="255"/>
    </row>
    <row r="22" ht="16.5" spans="1:16">
      <c r="A22" s="25">
        <v>45002</v>
      </c>
      <c r="B22" s="26">
        <f t="shared" si="3"/>
        <v>1251.789</v>
      </c>
      <c r="C22" s="141">
        <v>3006.635</v>
      </c>
      <c r="D22" s="149"/>
      <c r="E22" s="152"/>
      <c r="F22" s="147">
        <v>2717</v>
      </c>
      <c r="G22" s="148">
        <v>58</v>
      </c>
      <c r="H22" s="148">
        <v>2659</v>
      </c>
      <c r="I22" s="213"/>
      <c r="J22" s="204"/>
      <c r="K22" s="91">
        <f t="shared" si="1"/>
        <v>2659</v>
      </c>
      <c r="L22" s="92">
        <f t="shared" si="2"/>
        <v>1599.424</v>
      </c>
      <c r="M22" s="93" t="s">
        <v>95</v>
      </c>
      <c r="N22" s="256"/>
      <c r="O22" s="41"/>
      <c r="P22" s="255"/>
    </row>
    <row r="23" ht="16.5" spans="1:16">
      <c r="A23" s="25">
        <v>45003</v>
      </c>
      <c r="B23" s="26">
        <f t="shared" si="3"/>
        <v>1599.424</v>
      </c>
      <c r="C23" s="141"/>
      <c r="D23" s="149">
        <v>55.115</v>
      </c>
      <c r="E23" s="152"/>
      <c r="F23" s="147">
        <v>1529</v>
      </c>
      <c r="G23" s="148">
        <v>33</v>
      </c>
      <c r="H23" s="148">
        <v>1496</v>
      </c>
      <c r="I23" s="213">
        <v>11.5</v>
      </c>
      <c r="J23" s="204"/>
      <c r="K23" s="91">
        <f t="shared" si="1"/>
        <v>1507.5</v>
      </c>
      <c r="L23" s="92">
        <f t="shared" si="2"/>
        <v>36.8089999999991</v>
      </c>
      <c r="M23" s="93" t="s">
        <v>95</v>
      </c>
      <c r="N23" s="259"/>
      <c r="O23" s="41"/>
      <c r="P23" s="255"/>
    </row>
    <row r="24" ht="16.5" spans="1:16">
      <c r="A24" s="25">
        <v>45004</v>
      </c>
      <c r="B24" s="26">
        <f t="shared" si="3"/>
        <v>36.8089999999991</v>
      </c>
      <c r="C24" s="141"/>
      <c r="D24" s="149"/>
      <c r="E24" s="152"/>
      <c r="F24" s="147"/>
      <c r="G24" s="148"/>
      <c r="H24" s="148"/>
      <c r="I24" s="213"/>
      <c r="J24" s="204"/>
      <c r="K24" s="91">
        <f t="shared" si="1"/>
        <v>0</v>
      </c>
      <c r="L24" s="92">
        <f t="shared" si="2"/>
        <v>36.8089999999991</v>
      </c>
      <c r="M24" s="93"/>
      <c r="N24" s="256"/>
      <c r="O24" s="41"/>
      <c r="P24" s="255"/>
    </row>
    <row r="25" ht="16.5" spans="1:16">
      <c r="A25" s="25">
        <v>45005</v>
      </c>
      <c r="B25" s="26">
        <f t="shared" si="3"/>
        <v>36.8089999999991</v>
      </c>
      <c r="C25" s="141"/>
      <c r="D25" s="149"/>
      <c r="E25" s="152"/>
      <c r="F25" s="147"/>
      <c r="G25" s="148"/>
      <c r="H25" s="148"/>
      <c r="I25" s="213"/>
      <c r="J25" s="204"/>
      <c r="K25" s="91">
        <f t="shared" si="1"/>
        <v>0</v>
      </c>
      <c r="L25" s="92">
        <f t="shared" si="2"/>
        <v>36.8089999999991</v>
      </c>
      <c r="M25" s="93"/>
      <c r="N25" s="256"/>
      <c r="O25" s="41"/>
      <c r="P25" s="255"/>
    </row>
    <row r="26" ht="16.5" spans="1:16">
      <c r="A26" s="25">
        <v>45006</v>
      </c>
      <c r="B26" s="26">
        <f t="shared" si="3"/>
        <v>36.8089999999991</v>
      </c>
      <c r="C26" s="141"/>
      <c r="D26" s="149"/>
      <c r="E26" s="152"/>
      <c r="F26" s="147"/>
      <c r="G26" s="148"/>
      <c r="H26" s="148"/>
      <c r="I26" s="213"/>
      <c r="J26" s="204"/>
      <c r="K26" s="91">
        <f t="shared" si="1"/>
        <v>0</v>
      </c>
      <c r="L26" s="92">
        <f t="shared" si="2"/>
        <v>36.8089999999991</v>
      </c>
      <c r="M26" s="93"/>
      <c r="N26" s="256"/>
      <c r="O26" s="41"/>
      <c r="P26" s="255"/>
    </row>
    <row r="27" ht="16.5" spans="1:16">
      <c r="A27" s="25">
        <v>45007</v>
      </c>
      <c r="B27" s="26">
        <f t="shared" si="3"/>
        <v>36.8089999999991</v>
      </c>
      <c r="C27" s="141">
        <v>13677.5385</v>
      </c>
      <c r="D27" s="149"/>
      <c r="E27" s="152"/>
      <c r="F27" s="147">
        <v>9434</v>
      </c>
      <c r="G27" s="148">
        <v>498</v>
      </c>
      <c r="H27" s="148">
        <v>8936</v>
      </c>
      <c r="I27" s="213">
        <v>214.5</v>
      </c>
      <c r="J27" s="204"/>
      <c r="K27" s="91">
        <f t="shared" si="1"/>
        <v>9150.5</v>
      </c>
      <c r="L27" s="92">
        <f t="shared" si="2"/>
        <v>4563.8475</v>
      </c>
      <c r="M27" s="93" t="s">
        <v>123</v>
      </c>
      <c r="N27" s="256"/>
      <c r="O27" s="41"/>
      <c r="P27" s="258"/>
    </row>
    <row r="28" ht="16.5" spans="1:16">
      <c r="A28" s="25">
        <v>45008</v>
      </c>
      <c r="B28" s="26">
        <f t="shared" si="3"/>
        <v>4563.8475</v>
      </c>
      <c r="C28" s="141">
        <f>14345.9+50</f>
        <v>14395.9</v>
      </c>
      <c r="D28" s="149"/>
      <c r="E28" s="152"/>
      <c r="F28" s="147">
        <v>13860</v>
      </c>
      <c r="G28" s="148">
        <v>776</v>
      </c>
      <c r="H28" s="148">
        <v>13084</v>
      </c>
      <c r="I28" s="203">
        <v>106.2</v>
      </c>
      <c r="J28" s="204"/>
      <c r="K28" s="91">
        <f t="shared" si="1"/>
        <v>13190.2</v>
      </c>
      <c r="L28" s="92">
        <f t="shared" si="2"/>
        <v>5769.5475</v>
      </c>
      <c r="M28" s="93" t="s">
        <v>62</v>
      </c>
      <c r="N28" s="256"/>
      <c r="O28" s="41"/>
      <c r="P28" s="255"/>
    </row>
    <row r="29" ht="16.5" spans="1:16">
      <c r="A29" s="25">
        <v>45009</v>
      </c>
      <c r="B29" s="26">
        <f t="shared" si="3"/>
        <v>5769.5475</v>
      </c>
      <c r="C29" s="141">
        <v>12247.9725</v>
      </c>
      <c r="D29" s="149"/>
      <c r="E29" s="152"/>
      <c r="F29" s="147">
        <v>14616</v>
      </c>
      <c r="G29" s="148">
        <v>862</v>
      </c>
      <c r="H29" s="148">
        <v>13754</v>
      </c>
      <c r="I29" s="213">
        <v>6</v>
      </c>
      <c r="J29" s="204"/>
      <c r="K29" s="91">
        <f t="shared" si="1"/>
        <v>13760</v>
      </c>
      <c r="L29" s="92">
        <f t="shared" si="2"/>
        <v>4257.52</v>
      </c>
      <c r="M29" s="93" t="s">
        <v>62</v>
      </c>
      <c r="N29" s="256"/>
      <c r="O29" s="41"/>
      <c r="P29" s="260"/>
    </row>
    <row r="30" ht="16.5" spans="1:16">
      <c r="A30" s="25">
        <v>45010</v>
      </c>
      <c r="B30" s="26">
        <f t="shared" si="3"/>
        <v>4257.52</v>
      </c>
      <c r="C30" s="141">
        <v>6227.995</v>
      </c>
      <c r="D30" s="149"/>
      <c r="E30" s="152">
        <v>6.4</v>
      </c>
      <c r="F30" s="147">
        <v>7798</v>
      </c>
      <c r="G30" s="148">
        <v>505</v>
      </c>
      <c r="H30" s="148">
        <v>7293</v>
      </c>
      <c r="I30" s="213">
        <v>4</v>
      </c>
      <c r="J30" s="204"/>
      <c r="K30" s="91">
        <f t="shared" si="1"/>
        <v>7297</v>
      </c>
      <c r="L30" s="92">
        <f t="shared" si="2"/>
        <v>3182.115</v>
      </c>
      <c r="M30" s="93" t="s">
        <v>74</v>
      </c>
      <c r="N30" s="256"/>
      <c r="O30" s="41"/>
      <c r="P30" s="255"/>
    </row>
    <row r="31" ht="16.5" spans="1:16">
      <c r="A31" s="25">
        <v>45011</v>
      </c>
      <c r="B31" s="26">
        <f t="shared" si="3"/>
        <v>3182.115</v>
      </c>
      <c r="C31" s="149"/>
      <c r="D31" s="149"/>
      <c r="E31" s="152"/>
      <c r="F31" s="147"/>
      <c r="G31" s="148"/>
      <c r="H31" s="148"/>
      <c r="I31" s="213"/>
      <c r="J31" s="204"/>
      <c r="K31" s="91">
        <f t="shared" si="1"/>
        <v>0</v>
      </c>
      <c r="L31" s="92">
        <f t="shared" si="2"/>
        <v>3182.115</v>
      </c>
      <c r="M31" s="93"/>
      <c r="N31" s="256"/>
      <c r="O31" s="41"/>
      <c r="P31" s="255"/>
    </row>
    <row r="32" ht="16.5" spans="1:16">
      <c r="A32" s="25">
        <v>45012</v>
      </c>
      <c r="B32" s="26">
        <f t="shared" si="3"/>
        <v>3182.115</v>
      </c>
      <c r="C32" s="152">
        <v>14825.915</v>
      </c>
      <c r="D32" s="149"/>
      <c r="E32" s="152"/>
      <c r="F32" s="147">
        <v>10964</v>
      </c>
      <c r="G32" s="148">
        <v>627</v>
      </c>
      <c r="H32" s="148">
        <v>10337</v>
      </c>
      <c r="I32" s="213">
        <v>88</v>
      </c>
      <c r="J32" s="204">
        <v>59</v>
      </c>
      <c r="K32" s="91">
        <f t="shared" si="1"/>
        <v>10425</v>
      </c>
      <c r="L32" s="92">
        <f t="shared" si="2"/>
        <v>7583.03</v>
      </c>
      <c r="M32" s="93" t="s">
        <v>73</v>
      </c>
      <c r="N32" s="256"/>
      <c r="O32" s="41"/>
      <c r="P32" s="255"/>
    </row>
    <row r="33" ht="16.5" spans="1:16">
      <c r="A33" s="25">
        <v>45013</v>
      </c>
      <c r="B33" s="26">
        <f t="shared" si="3"/>
        <v>7583.03</v>
      </c>
      <c r="C33" s="152">
        <f>4947.7925+7412.9675+4409.2</f>
        <v>16769.96</v>
      </c>
      <c r="D33" s="149"/>
      <c r="E33" s="152"/>
      <c r="F33" s="147">
        <v>17028</v>
      </c>
      <c r="G33" s="148">
        <v>906</v>
      </c>
      <c r="H33" s="148">
        <v>16122</v>
      </c>
      <c r="I33" s="213">
        <v>46</v>
      </c>
      <c r="J33" s="204"/>
      <c r="K33" s="91">
        <f t="shared" si="1"/>
        <v>16168</v>
      </c>
      <c r="L33" s="92">
        <f t="shared" si="2"/>
        <v>8184.99</v>
      </c>
      <c r="M33" s="93" t="s">
        <v>92</v>
      </c>
      <c r="N33" s="256"/>
      <c r="O33" s="41"/>
      <c r="P33" s="258"/>
    </row>
    <row r="34" s="1" customFormat="1" ht="16.5" spans="1:16">
      <c r="A34" s="25">
        <v>45014</v>
      </c>
      <c r="B34" s="26">
        <f t="shared" si="3"/>
        <v>8184.99</v>
      </c>
      <c r="C34" s="152">
        <v>12002.3975</v>
      </c>
      <c r="D34" s="149"/>
      <c r="E34" s="152"/>
      <c r="F34" s="147">
        <v>16890</v>
      </c>
      <c r="G34" s="148">
        <v>591</v>
      </c>
      <c r="H34" s="148">
        <v>16299</v>
      </c>
      <c r="I34" s="213">
        <v>93</v>
      </c>
      <c r="J34" s="204">
        <v>68</v>
      </c>
      <c r="K34" s="91">
        <f t="shared" si="1"/>
        <v>16392</v>
      </c>
      <c r="L34" s="92">
        <f t="shared" si="2"/>
        <v>3795.3875</v>
      </c>
      <c r="M34" s="93" t="s">
        <v>92</v>
      </c>
      <c r="N34" s="256"/>
      <c r="O34" s="261"/>
      <c r="P34" s="262"/>
    </row>
    <row r="35" ht="16.5" spans="1:16">
      <c r="A35" s="25">
        <v>45015</v>
      </c>
      <c r="B35" s="26">
        <f t="shared" si="3"/>
        <v>3795.3875</v>
      </c>
      <c r="C35" s="152">
        <v>10003.3725</v>
      </c>
      <c r="D35" s="149"/>
      <c r="E35" s="152"/>
      <c r="F35" s="147">
        <v>12981</v>
      </c>
      <c r="G35" s="148">
        <v>586</v>
      </c>
      <c r="H35" s="148">
        <v>12395</v>
      </c>
      <c r="I35" s="203">
        <v>22.5</v>
      </c>
      <c r="J35" s="204">
        <v>47</v>
      </c>
      <c r="K35" s="91">
        <f t="shared" si="1"/>
        <v>12417.5</v>
      </c>
      <c r="L35" s="92">
        <f t="shared" si="2"/>
        <v>1381.26</v>
      </c>
      <c r="M35" s="93" t="s">
        <v>112</v>
      </c>
      <c r="N35" s="256"/>
      <c r="O35" s="41"/>
      <c r="P35" s="255"/>
    </row>
    <row r="36" ht="18" customHeight="1" spans="1:16">
      <c r="A36" s="25">
        <v>45016</v>
      </c>
      <c r="B36" s="26">
        <f t="shared" si="3"/>
        <v>1381.26</v>
      </c>
      <c r="C36" s="42">
        <f>11073.2+2645.52</f>
        <v>13718.72</v>
      </c>
      <c r="D36" s="240"/>
      <c r="E36" s="240"/>
      <c r="F36" s="28">
        <v>13443</v>
      </c>
      <c r="G36" s="29">
        <v>584</v>
      </c>
      <c r="H36" s="35">
        <v>12859</v>
      </c>
      <c r="I36" s="89">
        <v>14.5</v>
      </c>
      <c r="J36" s="103">
        <v>76</v>
      </c>
      <c r="K36" s="91">
        <f t="shared" si="1"/>
        <v>12873.5</v>
      </c>
      <c r="L36" s="92">
        <f t="shared" si="2"/>
        <v>2226.48</v>
      </c>
      <c r="M36" s="104" t="s">
        <v>74</v>
      </c>
      <c r="N36" s="256"/>
      <c r="O36" s="263"/>
      <c r="P36" s="264"/>
    </row>
    <row r="37" ht="15" spans="1:16">
      <c r="A37" s="241"/>
      <c r="B37" s="44"/>
      <c r="C37" s="45">
        <f>SUM(C5:C36)</f>
        <v>191600.4785</v>
      </c>
      <c r="D37" s="242">
        <f t="shared" ref="D37:K37" si="4">SUM(D5:D36)</f>
        <v>55.115</v>
      </c>
      <c r="E37" s="243">
        <f t="shared" si="4"/>
        <v>12.6</v>
      </c>
      <c r="F37" s="48">
        <f t="shared" si="4"/>
        <v>279963</v>
      </c>
      <c r="G37" s="49">
        <f t="shared" si="4"/>
        <v>9415</v>
      </c>
      <c r="H37" s="48">
        <f t="shared" si="4"/>
        <v>192141</v>
      </c>
      <c r="I37" s="49">
        <f t="shared" si="4"/>
        <v>1337.2</v>
      </c>
      <c r="J37" s="49"/>
      <c r="K37" s="106">
        <f t="shared" si="4"/>
        <v>193478.2</v>
      </c>
      <c r="L37" s="107">
        <f>SUM(B5+C37-D37-E37-K37)</f>
        <v>2226.47999999998</v>
      </c>
      <c r="M37" s="265"/>
      <c r="N37" s="266"/>
      <c r="O37" s="267"/>
      <c r="P37" s="268"/>
    </row>
    <row r="39" ht="17.25" spans="1:15">
      <c r="A39" s="50" t="s">
        <v>20</v>
      </c>
      <c r="B39" s="51"/>
      <c r="C39" s="52" t="s">
        <v>21</v>
      </c>
      <c r="D39" s="53" t="s">
        <v>22</v>
      </c>
      <c r="H39" s="50" t="s">
        <v>23</v>
      </c>
      <c r="I39" s="59" t="s">
        <v>24</v>
      </c>
      <c r="K39" s="50" t="s">
        <v>25</v>
      </c>
      <c r="N39" s="5"/>
      <c r="O39" s="6"/>
    </row>
    <row r="40" ht="15" spans="11:13">
      <c r="K40" s="110" t="s">
        <v>124</v>
      </c>
      <c r="L40" s="111">
        <f>L37</f>
        <v>2226.47999999998</v>
      </c>
      <c r="M40" s="112" t="s">
        <v>27</v>
      </c>
    </row>
    <row r="41" spans="13:16">
      <c r="M41" s="114"/>
      <c r="N41" s="114"/>
      <c r="O41" s="231"/>
      <c r="P41" s="3"/>
    </row>
    <row r="42" ht="15" spans="2:12">
      <c r="B42" s="54"/>
      <c r="K42" s="113" t="s">
        <v>28</v>
      </c>
      <c r="L42" s="115"/>
    </row>
    <row r="43" spans="1:3">
      <c r="A43" s="59" t="s">
        <v>125</v>
      </c>
      <c r="B43" s="56" t="s">
        <v>30</v>
      </c>
      <c r="C43" s="57">
        <v>24</v>
      </c>
    </row>
    <row r="44" spans="1:3">
      <c r="A44" s="59" t="s">
        <v>31</v>
      </c>
      <c r="B44" s="60" t="s">
        <v>32</v>
      </c>
      <c r="C44" s="61">
        <f>(C37+B5)/C43</f>
        <v>8157.183125</v>
      </c>
    </row>
    <row r="45" spans="1:3">
      <c r="A45" s="59" t="s">
        <v>33</v>
      </c>
      <c r="B45" s="60" t="s">
        <v>34</v>
      </c>
      <c r="C45" s="61">
        <f>(B5+C37-D37)/C43</f>
        <v>8154.88666666667</v>
      </c>
    </row>
    <row r="46" ht="15" spans="1:8">
      <c r="A46" s="59" t="s">
        <v>23</v>
      </c>
      <c r="B46" s="60" t="s">
        <v>35</v>
      </c>
      <c r="C46" s="61">
        <f>H37/C43</f>
        <v>8005.875</v>
      </c>
      <c r="D46" s="62" t="s">
        <v>36</v>
      </c>
      <c r="E46" s="62"/>
      <c r="F46" s="63"/>
      <c r="G46" s="64"/>
      <c r="H46" s="3" t="s">
        <v>37</v>
      </c>
    </row>
    <row r="47" ht="17.25" spans="1:6">
      <c r="A47" s="59" t="s">
        <v>25</v>
      </c>
      <c r="B47" s="60" t="s">
        <v>38</v>
      </c>
      <c r="C47" s="61">
        <f>(K37)/C43</f>
        <v>8061.59166666667</v>
      </c>
      <c r="D47" s="65" t="s">
        <v>39</v>
      </c>
      <c r="E47" s="66">
        <f>(C45-C47)</f>
        <v>93.2949999999964</v>
      </c>
      <c r="F47" s="67"/>
    </row>
    <row r="48" ht="17.25" spans="1:5">
      <c r="A48" s="59" t="s">
        <v>24</v>
      </c>
      <c r="B48" s="68" t="s">
        <v>40</v>
      </c>
      <c r="C48" s="69">
        <f>(I37/H37)</f>
        <v>0.00695947247073764</v>
      </c>
      <c r="D48" s="70" t="s">
        <v>39</v>
      </c>
      <c r="E48" s="71">
        <f>E47/C45</f>
        <v>0.0114403797150661</v>
      </c>
    </row>
    <row r="49" spans="1:1">
      <c r="A49" s="2"/>
    </row>
  </sheetData>
  <mergeCells count="13">
    <mergeCell ref="A1:O1"/>
    <mergeCell ref="F3:I3"/>
    <mergeCell ref="A3:A4"/>
    <mergeCell ref="B3:B4"/>
    <mergeCell ref="C3:C4"/>
    <mergeCell ref="D3:D4"/>
    <mergeCell ref="E3:E4"/>
    <mergeCell ref="K3:K4"/>
    <mergeCell ref="L3:L4"/>
    <mergeCell ref="M3:M4"/>
    <mergeCell ref="N3:N4"/>
    <mergeCell ref="O3:O4"/>
    <mergeCell ref="P3:P4"/>
  </mergeCells>
  <pageMargins left="0.7" right="0.7" top="0.75" bottom="0.75" header="0.3" footer="0.3"/>
  <pageSetup paperSize="9" orientation="portrait" horizontalDpi="200" verticalDpi="300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9"/>
  <sheetViews>
    <sheetView topLeftCell="A16" workbookViewId="0">
      <selection activeCell="E48" sqref="E48"/>
    </sheetView>
  </sheetViews>
  <sheetFormatPr defaultColWidth="10.4416666666667" defaultRowHeight="14.25"/>
  <cols>
    <col min="1" max="1" width="13.2166666666667" style="116" customWidth="1"/>
    <col min="2" max="2" width="17" style="116" customWidth="1"/>
    <col min="3" max="3" width="14.1083333333333" style="118" customWidth="1"/>
    <col min="4" max="4" width="10.4416666666667" style="119"/>
    <col min="5" max="5" width="10.4416666666667" style="116"/>
    <col min="6" max="6" width="13" style="118" customWidth="1"/>
    <col min="7" max="7" width="10.5583333333333" style="118" customWidth="1"/>
    <col min="8" max="8" width="12.3333333333333" style="118" customWidth="1"/>
    <col min="9" max="9" width="10.5583333333333" style="118" customWidth="1"/>
    <col min="10" max="10" width="15.2166666666667" style="118" customWidth="1"/>
    <col min="11" max="11" width="14.775" style="118" customWidth="1"/>
    <col min="12" max="13" width="12.4416666666667" style="118" customWidth="1"/>
    <col min="14" max="14" width="13.4416666666667" style="120" customWidth="1"/>
    <col min="15" max="15" width="10.4416666666667" style="121"/>
    <col min="16" max="16384" width="10.4416666666667" style="116"/>
  </cols>
  <sheetData>
    <row r="1" ht="30" spans="1:15">
      <c r="A1" s="122" t="s">
        <v>126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ht="20.25" spans="1:12">
      <c r="A2" s="123" t="s">
        <v>1</v>
      </c>
      <c r="L2" s="118" t="s">
        <v>2</v>
      </c>
    </row>
    <row r="3" spans="1:15">
      <c r="A3" s="124" t="s">
        <v>3</v>
      </c>
      <c r="B3" s="125" t="s">
        <v>4</v>
      </c>
      <c r="C3" s="126" t="s">
        <v>5</v>
      </c>
      <c r="D3" s="124" t="s">
        <v>6</v>
      </c>
      <c r="E3" s="124" t="s">
        <v>7</v>
      </c>
      <c r="F3" s="127" t="s">
        <v>8</v>
      </c>
      <c r="G3" s="128"/>
      <c r="H3" s="128"/>
      <c r="I3" s="128"/>
      <c r="J3" s="186"/>
      <c r="K3" s="187" t="s">
        <v>9</v>
      </c>
      <c r="L3" s="188" t="s">
        <v>10</v>
      </c>
      <c r="M3" s="188" t="s">
        <v>11</v>
      </c>
      <c r="N3" s="189" t="s">
        <v>12</v>
      </c>
      <c r="O3" s="190" t="s">
        <v>13</v>
      </c>
    </row>
    <row r="4" ht="15" spans="1:15">
      <c r="A4" s="129"/>
      <c r="B4" s="130"/>
      <c r="C4" s="131"/>
      <c r="D4" s="129"/>
      <c r="E4" s="129"/>
      <c r="F4" s="132" t="s">
        <v>14</v>
      </c>
      <c r="G4" s="133" t="s">
        <v>15</v>
      </c>
      <c r="H4" s="133" t="s">
        <v>16</v>
      </c>
      <c r="I4" s="191" t="s">
        <v>17</v>
      </c>
      <c r="J4" s="192" t="s">
        <v>18</v>
      </c>
      <c r="K4" s="193"/>
      <c r="L4" s="194"/>
      <c r="M4" s="194"/>
      <c r="N4" s="195"/>
      <c r="O4" s="196"/>
    </row>
    <row r="5" ht="17.25" spans="1:15">
      <c r="A5" s="134" t="s">
        <v>19</v>
      </c>
      <c r="B5" s="135"/>
      <c r="C5" s="136"/>
      <c r="D5" s="137"/>
      <c r="E5" s="137"/>
      <c r="F5" s="138"/>
      <c r="G5" s="139"/>
      <c r="H5" s="139"/>
      <c r="I5" s="197"/>
      <c r="J5" s="186"/>
      <c r="K5" s="198"/>
      <c r="L5" s="199"/>
      <c r="M5" s="200"/>
      <c r="N5" s="201"/>
      <c r="O5" s="202"/>
    </row>
    <row r="6" ht="16.5" spans="1:15">
      <c r="A6" s="140">
        <v>44958</v>
      </c>
      <c r="B6" s="135">
        <f>B5</f>
        <v>0</v>
      </c>
      <c r="C6" s="141"/>
      <c r="D6" s="142"/>
      <c r="E6" s="142"/>
      <c r="F6" s="143"/>
      <c r="G6" s="144"/>
      <c r="H6" s="144"/>
      <c r="I6" s="203"/>
      <c r="J6" s="204"/>
      <c r="K6" s="205">
        <f>SUM(H6+I6)</f>
        <v>0</v>
      </c>
      <c r="L6" s="206">
        <f>B6+C6-D6-E6-K6</f>
        <v>0</v>
      </c>
      <c r="M6" s="207"/>
      <c r="N6" s="208"/>
      <c r="O6" s="209"/>
    </row>
    <row r="7" ht="16.5" spans="1:15">
      <c r="A7" s="140">
        <v>44959</v>
      </c>
      <c r="B7" s="135">
        <f>L6</f>
        <v>0</v>
      </c>
      <c r="C7" s="141"/>
      <c r="D7" s="145"/>
      <c r="E7" s="146"/>
      <c r="F7" s="143"/>
      <c r="G7" s="144"/>
      <c r="H7" s="144"/>
      <c r="I7" s="203"/>
      <c r="J7" s="204"/>
      <c r="K7" s="205">
        <f t="shared" ref="K7:K34" si="0">SUM(H7+I7)</f>
        <v>0</v>
      </c>
      <c r="L7" s="206">
        <f t="shared" ref="L7:L34" si="1">B7+C7-D7-E7-K7</f>
        <v>0</v>
      </c>
      <c r="M7" s="207"/>
      <c r="N7" s="210"/>
      <c r="O7" s="211"/>
    </row>
    <row r="8" ht="16.5" spans="1:15">
      <c r="A8" s="140">
        <v>44960</v>
      </c>
      <c r="B8" s="135">
        <f t="shared" ref="B8:B33" si="2">L7</f>
        <v>0</v>
      </c>
      <c r="C8" s="141"/>
      <c r="D8" s="145"/>
      <c r="E8" s="145"/>
      <c r="F8" s="143"/>
      <c r="G8" s="144"/>
      <c r="H8" s="144"/>
      <c r="I8" s="203"/>
      <c r="J8" s="204"/>
      <c r="K8" s="205">
        <f t="shared" si="0"/>
        <v>0</v>
      </c>
      <c r="L8" s="206">
        <f t="shared" si="1"/>
        <v>0</v>
      </c>
      <c r="M8" s="207"/>
      <c r="N8" s="210"/>
      <c r="O8" s="212"/>
    </row>
    <row r="9" ht="16.5" spans="1:15">
      <c r="A9" s="140">
        <v>44961</v>
      </c>
      <c r="B9" s="135">
        <f t="shared" si="2"/>
        <v>0</v>
      </c>
      <c r="C9" s="141"/>
      <c r="D9" s="33"/>
      <c r="E9" s="33"/>
      <c r="F9" s="143"/>
      <c r="G9" s="144"/>
      <c r="H9" s="144"/>
      <c r="I9" s="203"/>
      <c r="J9" s="204"/>
      <c r="K9" s="205">
        <f t="shared" si="0"/>
        <v>0</v>
      </c>
      <c r="L9" s="206">
        <f t="shared" si="1"/>
        <v>0</v>
      </c>
      <c r="M9" s="207"/>
      <c r="N9" s="210"/>
      <c r="O9" s="212"/>
    </row>
    <row r="10" ht="16.5" spans="1:16">
      <c r="A10" s="140">
        <v>44962</v>
      </c>
      <c r="B10" s="135">
        <f t="shared" si="2"/>
        <v>0</v>
      </c>
      <c r="C10" s="141"/>
      <c r="D10" s="33"/>
      <c r="E10" s="33"/>
      <c r="F10" s="147"/>
      <c r="G10" s="148"/>
      <c r="H10" s="148"/>
      <c r="I10" s="213"/>
      <c r="J10" s="204"/>
      <c r="K10" s="205">
        <f t="shared" si="0"/>
        <v>0</v>
      </c>
      <c r="L10" s="206">
        <f t="shared" si="1"/>
        <v>0</v>
      </c>
      <c r="M10" s="207"/>
      <c r="N10" s="210"/>
      <c r="O10" s="212"/>
      <c r="P10" s="168"/>
    </row>
    <row r="11" ht="16.5" spans="1:15">
      <c r="A11" s="140">
        <v>44963</v>
      </c>
      <c r="B11" s="135">
        <f t="shared" si="2"/>
        <v>0</v>
      </c>
      <c r="C11" s="141"/>
      <c r="E11" s="33"/>
      <c r="F11" s="147"/>
      <c r="G11" s="148"/>
      <c r="H11" s="148"/>
      <c r="I11" s="213"/>
      <c r="J11" s="204"/>
      <c r="K11" s="205">
        <f t="shared" si="0"/>
        <v>0</v>
      </c>
      <c r="L11" s="206">
        <f t="shared" si="1"/>
        <v>0</v>
      </c>
      <c r="M11" s="207"/>
      <c r="N11" s="210"/>
      <c r="O11" s="212"/>
    </row>
    <row r="12" ht="16.5" spans="1:15">
      <c r="A12" s="140">
        <v>44964</v>
      </c>
      <c r="B12" s="135">
        <f t="shared" si="2"/>
        <v>0</v>
      </c>
      <c r="C12" s="141"/>
      <c r="D12" s="33"/>
      <c r="E12" s="33"/>
      <c r="F12" s="147"/>
      <c r="G12" s="148"/>
      <c r="H12" s="148"/>
      <c r="I12" s="213"/>
      <c r="J12" s="204"/>
      <c r="K12" s="205">
        <f t="shared" si="0"/>
        <v>0</v>
      </c>
      <c r="L12" s="206">
        <f t="shared" si="1"/>
        <v>0</v>
      </c>
      <c r="M12" s="207"/>
      <c r="N12" s="210"/>
      <c r="O12" s="212"/>
    </row>
    <row r="13" ht="16.5" spans="1:15">
      <c r="A13" s="140">
        <v>44965</v>
      </c>
      <c r="B13" s="135">
        <f t="shared" si="2"/>
        <v>0</v>
      </c>
      <c r="C13" s="141"/>
      <c r="D13" s="33"/>
      <c r="E13" s="33"/>
      <c r="F13" s="149"/>
      <c r="G13" s="150"/>
      <c r="H13" s="150"/>
      <c r="I13" s="150"/>
      <c r="J13" s="204"/>
      <c r="K13" s="205">
        <f t="shared" si="0"/>
        <v>0</v>
      </c>
      <c r="L13" s="206">
        <f t="shared" si="1"/>
        <v>0</v>
      </c>
      <c r="M13" s="207"/>
      <c r="N13" s="210"/>
      <c r="O13" s="212"/>
    </row>
    <row r="14" ht="16.5" spans="1:15">
      <c r="A14" s="140">
        <v>44966</v>
      </c>
      <c r="B14" s="135">
        <f t="shared" si="2"/>
        <v>0</v>
      </c>
      <c r="C14" s="141">
        <v>6090.2075</v>
      </c>
      <c r="D14" s="33"/>
      <c r="E14" s="33"/>
      <c r="F14" s="149">
        <v>3380</v>
      </c>
      <c r="G14" s="150">
        <v>60</v>
      </c>
      <c r="H14" s="150">
        <v>3320</v>
      </c>
      <c r="I14" s="150">
        <v>30</v>
      </c>
      <c r="J14" s="204"/>
      <c r="K14" s="205">
        <f t="shared" si="0"/>
        <v>3350</v>
      </c>
      <c r="L14" s="206">
        <f t="shared" si="1"/>
        <v>2740.2075</v>
      </c>
      <c r="M14" s="207" t="s">
        <v>96</v>
      </c>
      <c r="N14" s="210"/>
      <c r="O14" s="212"/>
    </row>
    <row r="15" ht="16.5" spans="1:15">
      <c r="A15" s="140">
        <v>44967</v>
      </c>
      <c r="B15" s="135">
        <f t="shared" si="2"/>
        <v>2740.2075</v>
      </c>
      <c r="C15" s="141">
        <f>4368.97+4519.43</f>
        <v>8888.4</v>
      </c>
      <c r="D15" s="142"/>
      <c r="E15" s="142"/>
      <c r="F15" s="143">
        <v>7493</v>
      </c>
      <c r="G15" s="144">
        <v>147</v>
      </c>
      <c r="H15" s="144">
        <v>7346</v>
      </c>
      <c r="I15" s="203">
        <v>43.8</v>
      </c>
      <c r="J15" s="204"/>
      <c r="K15" s="205">
        <f t="shared" si="0"/>
        <v>7389.8</v>
      </c>
      <c r="L15" s="206">
        <f t="shared" si="1"/>
        <v>4238.8075</v>
      </c>
      <c r="M15" s="207" t="s">
        <v>127</v>
      </c>
      <c r="N15" s="208"/>
      <c r="O15" s="212"/>
    </row>
    <row r="16" ht="16.5" spans="1:15">
      <c r="A16" s="140">
        <v>44968</v>
      </c>
      <c r="B16" s="135">
        <f t="shared" si="2"/>
        <v>4238.8075</v>
      </c>
      <c r="C16" s="141">
        <f>3499.8025+1610.22</f>
        <v>5110.0225</v>
      </c>
      <c r="D16" s="145"/>
      <c r="E16" s="146"/>
      <c r="F16" s="143">
        <v>5944</v>
      </c>
      <c r="G16" s="144">
        <v>106</v>
      </c>
      <c r="H16" s="144">
        <v>5838</v>
      </c>
      <c r="I16" s="203">
        <v>4.7</v>
      </c>
      <c r="J16" s="204"/>
      <c r="K16" s="205">
        <f t="shared" si="0"/>
        <v>5842.7</v>
      </c>
      <c r="L16" s="206">
        <f t="shared" si="1"/>
        <v>3506.13</v>
      </c>
      <c r="M16" s="207" t="s">
        <v>127</v>
      </c>
      <c r="N16" s="210"/>
      <c r="O16" s="212"/>
    </row>
    <row r="17" ht="16.5" spans="1:15">
      <c r="A17" s="140">
        <v>44969</v>
      </c>
      <c r="B17" s="135">
        <f t="shared" si="2"/>
        <v>3506.13</v>
      </c>
      <c r="C17" s="141"/>
      <c r="D17" s="33"/>
      <c r="E17" s="33"/>
      <c r="F17" s="147"/>
      <c r="G17" s="148"/>
      <c r="H17" s="148"/>
      <c r="I17" s="213"/>
      <c r="J17" s="204"/>
      <c r="K17" s="205">
        <f t="shared" si="0"/>
        <v>0</v>
      </c>
      <c r="L17" s="206">
        <f t="shared" si="1"/>
        <v>3506.13</v>
      </c>
      <c r="M17" s="207"/>
      <c r="N17" s="210"/>
      <c r="O17" s="212"/>
    </row>
    <row r="18" ht="16.5" spans="1:16">
      <c r="A18" s="140">
        <v>44970</v>
      </c>
      <c r="B18" s="135">
        <f t="shared" si="2"/>
        <v>3506.13</v>
      </c>
      <c r="C18" s="141">
        <v>9459.9225</v>
      </c>
      <c r="D18" s="33"/>
      <c r="E18" s="33"/>
      <c r="F18" s="147">
        <v>7009</v>
      </c>
      <c r="G18" s="148">
        <v>114</v>
      </c>
      <c r="H18" s="148">
        <v>6895</v>
      </c>
      <c r="I18" s="213">
        <v>88.5</v>
      </c>
      <c r="J18" s="204"/>
      <c r="K18" s="205">
        <f t="shared" si="0"/>
        <v>6983.5</v>
      </c>
      <c r="L18" s="206">
        <f t="shared" si="1"/>
        <v>5982.5525</v>
      </c>
      <c r="M18" s="207" t="s">
        <v>128</v>
      </c>
      <c r="N18" s="210"/>
      <c r="O18" s="212"/>
      <c r="P18" s="168"/>
    </row>
    <row r="19" ht="16.5" spans="1:15">
      <c r="A19" s="140">
        <v>44971</v>
      </c>
      <c r="B19" s="135">
        <f t="shared" si="2"/>
        <v>5982.5525</v>
      </c>
      <c r="C19" s="141">
        <v>4395.7225</v>
      </c>
      <c r="D19" s="33"/>
      <c r="E19" s="33"/>
      <c r="F19" s="147">
        <v>8203</v>
      </c>
      <c r="G19" s="148">
        <v>129</v>
      </c>
      <c r="H19" s="148">
        <v>8074</v>
      </c>
      <c r="I19" s="213">
        <v>61.5</v>
      </c>
      <c r="J19" s="204">
        <v>45</v>
      </c>
      <c r="K19" s="205">
        <f t="shared" si="0"/>
        <v>8135.5</v>
      </c>
      <c r="L19" s="206">
        <f t="shared" si="1"/>
        <v>2242.775</v>
      </c>
      <c r="M19" s="207" t="s">
        <v>129</v>
      </c>
      <c r="N19" s="210"/>
      <c r="O19" s="212"/>
    </row>
    <row r="20" ht="16.5" spans="1:15">
      <c r="A20" s="140">
        <v>44972</v>
      </c>
      <c r="B20" s="135">
        <f t="shared" si="2"/>
        <v>2242.775</v>
      </c>
      <c r="C20" s="141">
        <v>5401.27</v>
      </c>
      <c r="D20" s="33"/>
      <c r="E20" s="33"/>
      <c r="F20" s="147">
        <v>6416</v>
      </c>
      <c r="G20" s="148">
        <v>103</v>
      </c>
      <c r="H20" s="148">
        <v>6313</v>
      </c>
      <c r="I20" s="213">
        <v>65</v>
      </c>
      <c r="J20" s="204"/>
      <c r="K20" s="214">
        <f t="shared" si="0"/>
        <v>6378</v>
      </c>
      <c r="L20" s="206">
        <f t="shared" si="1"/>
        <v>1266.045</v>
      </c>
      <c r="M20" s="207" t="s">
        <v>129</v>
      </c>
      <c r="N20" s="210"/>
      <c r="O20" s="212"/>
    </row>
    <row r="21" ht="16.5" spans="1:15">
      <c r="A21" s="140">
        <v>44973</v>
      </c>
      <c r="B21" s="135">
        <f t="shared" si="2"/>
        <v>1266.045</v>
      </c>
      <c r="C21" s="141">
        <v>17333.6675</v>
      </c>
      <c r="D21" s="33"/>
      <c r="E21" s="33"/>
      <c r="F21" s="147">
        <v>11811</v>
      </c>
      <c r="G21" s="148">
        <v>498</v>
      </c>
      <c r="H21" s="148">
        <v>11313</v>
      </c>
      <c r="I21" s="213">
        <v>104.5</v>
      </c>
      <c r="J21" s="204">
        <v>57</v>
      </c>
      <c r="K21" s="205">
        <f t="shared" si="0"/>
        <v>11417.5</v>
      </c>
      <c r="L21" s="206">
        <f t="shared" si="1"/>
        <v>7182.2125</v>
      </c>
      <c r="M21" s="207" t="s">
        <v>73</v>
      </c>
      <c r="N21" s="210"/>
      <c r="O21" s="212"/>
    </row>
    <row r="22" ht="16.5" spans="1:15">
      <c r="A22" s="140">
        <v>44974</v>
      </c>
      <c r="B22" s="135">
        <f t="shared" si="2"/>
        <v>7182.2125</v>
      </c>
      <c r="C22" s="141">
        <v>13034.6975</v>
      </c>
      <c r="D22" s="33"/>
      <c r="E22" s="33">
        <v>14.1</v>
      </c>
      <c r="F22" s="147">
        <v>14505</v>
      </c>
      <c r="G22" s="148">
        <v>611</v>
      </c>
      <c r="H22" s="148">
        <v>13894</v>
      </c>
      <c r="I22" s="213">
        <v>65.5</v>
      </c>
      <c r="J22" s="204">
        <v>56</v>
      </c>
      <c r="K22" s="205">
        <f t="shared" si="0"/>
        <v>13959.5</v>
      </c>
      <c r="L22" s="206">
        <f t="shared" si="1"/>
        <v>6243.31</v>
      </c>
      <c r="M22" s="207" t="s">
        <v>73</v>
      </c>
      <c r="N22" s="210"/>
      <c r="O22" s="212"/>
    </row>
    <row r="23" s="116" customFormat="1" ht="16.5" spans="1:15">
      <c r="A23" s="140">
        <v>44975</v>
      </c>
      <c r="B23" s="135">
        <f t="shared" si="2"/>
        <v>6243.31</v>
      </c>
      <c r="C23" s="141">
        <v>4188.74</v>
      </c>
      <c r="D23" s="33"/>
      <c r="E23" s="33"/>
      <c r="F23" s="147">
        <v>8426</v>
      </c>
      <c r="G23" s="148">
        <v>373</v>
      </c>
      <c r="H23" s="148">
        <v>8053</v>
      </c>
      <c r="I23" s="213"/>
      <c r="J23" s="204"/>
      <c r="K23" s="205">
        <f t="shared" si="0"/>
        <v>8053</v>
      </c>
      <c r="L23" s="206">
        <f t="shared" si="1"/>
        <v>2379.05</v>
      </c>
      <c r="M23" s="207" t="s">
        <v>74</v>
      </c>
      <c r="N23" s="215"/>
      <c r="O23" s="212"/>
    </row>
    <row r="24" s="116" customFormat="1" ht="16.5" spans="1:15">
      <c r="A24" s="140">
        <v>44976</v>
      </c>
      <c r="B24" s="135">
        <f t="shared" si="2"/>
        <v>2379.05</v>
      </c>
      <c r="C24" s="141"/>
      <c r="D24" s="33"/>
      <c r="E24" s="33"/>
      <c r="F24" s="147"/>
      <c r="G24" s="148"/>
      <c r="H24" s="148"/>
      <c r="I24" s="213"/>
      <c r="J24" s="204"/>
      <c r="K24" s="205">
        <f t="shared" si="0"/>
        <v>0</v>
      </c>
      <c r="L24" s="206">
        <f t="shared" si="1"/>
        <v>2379.05</v>
      </c>
      <c r="M24" s="207"/>
      <c r="N24" s="210"/>
      <c r="O24" s="212"/>
    </row>
    <row r="25" s="116" customFormat="1" ht="16.5" spans="1:15">
      <c r="A25" s="140">
        <v>44977</v>
      </c>
      <c r="B25" s="135">
        <f t="shared" si="2"/>
        <v>2379.05</v>
      </c>
      <c r="C25" s="141">
        <v>12315.645</v>
      </c>
      <c r="D25" s="33"/>
      <c r="E25" s="33"/>
      <c r="F25" s="147">
        <v>8496</v>
      </c>
      <c r="G25" s="148">
        <v>447</v>
      </c>
      <c r="H25" s="148">
        <v>8049</v>
      </c>
      <c r="I25" s="213">
        <v>87</v>
      </c>
      <c r="J25" s="204"/>
      <c r="K25" s="205">
        <f t="shared" si="0"/>
        <v>8136</v>
      </c>
      <c r="L25" s="206">
        <f t="shared" si="1"/>
        <v>6558.69500000001</v>
      </c>
      <c r="M25" s="207" t="s">
        <v>130</v>
      </c>
      <c r="N25" s="210"/>
      <c r="O25" s="212"/>
    </row>
    <row r="26" ht="16.5" spans="1:15">
      <c r="A26" s="140">
        <v>44978</v>
      </c>
      <c r="B26" s="135">
        <f t="shared" si="2"/>
        <v>6558.69500000001</v>
      </c>
      <c r="C26" s="141">
        <v>8928.63</v>
      </c>
      <c r="D26" s="33"/>
      <c r="E26" s="33"/>
      <c r="F26" s="147">
        <v>10616</v>
      </c>
      <c r="G26" s="148">
        <v>700</v>
      </c>
      <c r="H26" s="148">
        <v>9916</v>
      </c>
      <c r="I26" s="213"/>
      <c r="J26" s="204"/>
      <c r="K26" s="205">
        <f t="shared" si="0"/>
        <v>9916</v>
      </c>
      <c r="L26" s="206">
        <f t="shared" si="1"/>
        <v>5571.325</v>
      </c>
      <c r="M26" s="207" t="s">
        <v>119</v>
      </c>
      <c r="N26" s="210"/>
      <c r="O26" s="212"/>
    </row>
    <row r="27" ht="16.5" spans="1:16">
      <c r="A27" s="140">
        <v>44979</v>
      </c>
      <c r="B27" s="135">
        <f t="shared" si="2"/>
        <v>5571.325</v>
      </c>
      <c r="C27" s="141"/>
      <c r="D27" s="33"/>
      <c r="E27" s="33"/>
      <c r="F27" s="147">
        <v>2435</v>
      </c>
      <c r="G27" s="148">
        <v>158</v>
      </c>
      <c r="H27" s="148">
        <v>2277</v>
      </c>
      <c r="I27" s="213"/>
      <c r="J27" s="204"/>
      <c r="K27" s="205">
        <f t="shared" si="0"/>
        <v>2277</v>
      </c>
      <c r="L27" s="206">
        <f t="shared" si="1"/>
        <v>3294.325</v>
      </c>
      <c r="M27" s="207" t="s">
        <v>119</v>
      </c>
      <c r="N27" s="210"/>
      <c r="O27" s="212"/>
      <c r="P27" s="168"/>
    </row>
    <row r="28" ht="16.5" spans="1:15">
      <c r="A28" s="140">
        <v>44980</v>
      </c>
      <c r="B28" s="135">
        <f t="shared" si="2"/>
        <v>3294.325</v>
      </c>
      <c r="C28" s="141">
        <v>5511.5</v>
      </c>
      <c r="D28" s="33"/>
      <c r="E28" s="36"/>
      <c r="F28" s="147">
        <v>9616</v>
      </c>
      <c r="G28" s="148">
        <v>784</v>
      </c>
      <c r="H28" s="148">
        <v>8832</v>
      </c>
      <c r="I28" s="203">
        <v>91</v>
      </c>
      <c r="J28" s="204"/>
      <c r="K28" s="205">
        <f t="shared" si="0"/>
        <v>8923</v>
      </c>
      <c r="L28" s="206">
        <f t="shared" si="1"/>
        <v>-117.174999999996</v>
      </c>
      <c r="M28" s="207" t="s">
        <v>119</v>
      </c>
      <c r="N28" s="210"/>
      <c r="O28" s="212"/>
    </row>
    <row r="29" ht="16.5" spans="1:15">
      <c r="A29" s="140">
        <v>44981</v>
      </c>
      <c r="B29" s="135">
        <f t="shared" si="2"/>
        <v>-117.174999999996</v>
      </c>
      <c r="C29" s="141"/>
      <c r="D29" s="33"/>
      <c r="E29" s="33"/>
      <c r="F29" s="147"/>
      <c r="G29" s="148"/>
      <c r="H29" s="148"/>
      <c r="I29" s="213"/>
      <c r="J29" s="204"/>
      <c r="K29" s="205">
        <f t="shared" si="0"/>
        <v>0</v>
      </c>
      <c r="L29" s="206">
        <f t="shared" si="1"/>
        <v>-117.174999999996</v>
      </c>
      <c r="M29" s="207"/>
      <c r="N29" s="210"/>
      <c r="O29" s="212"/>
    </row>
    <row r="30" ht="16.5" spans="1:15">
      <c r="A30" s="140">
        <v>44982</v>
      </c>
      <c r="B30" s="135">
        <f t="shared" si="2"/>
        <v>-117.174999999996</v>
      </c>
      <c r="C30" s="141"/>
      <c r="D30" s="33"/>
      <c r="E30" s="36"/>
      <c r="F30" s="147"/>
      <c r="G30" s="148"/>
      <c r="H30" s="148"/>
      <c r="I30" s="213"/>
      <c r="J30" s="204"/>
      <c r="K30" s="205">
        <f t="shared" si="0"/>
        <v>0</v>
      </c>
      <c r="L30" s="206">
        <f t="shared" si="1"/>
        <v>-117.174999999996</v>
      </c>
      <c r="M30" s="207"/>
      <c r="N30" s="210"/>
      <c r="O30" s="212"/>
    </row>
    <row r="31" ht="16.5" spans="1:15">
      <c r="A31" s="140">
        <v>44983</v>
      </c>
      <c r="B31" s="135">
        <f t="shared" si="2"/>
        <v>-117.174999999996</v>
      </c>
      <c r="C31" s="149"/>
      <c r="D31" s="33"/>
      <c r="E31" s="36"/>
      <c r="F31" s="147"/>
      <c r="G31" s="148"/>
      <c r="H31" s="148"/>
      <c r="I31" s="213"/>
      <c r="J31" s="204"/>
      <c r="K31" s="205">
        <f t="shared" si="0"/>
        <v>0</v>
      </c>
      <c r="L31" s="206">
        <f t="shared" si="1"/>
        <v>-117.174999999996</v>
      </c>
      <c r="M31" s="207"/>
      <c r="N31" s="210"/>
      <c r="O31" s="212"/>
    </row>
    <row r="32" ht="16.5" spans="1:15">
      <c r="A32" s="140">
        <v>44984</v>
      </c>
      <c r="B32" s="135">
        <f t="shared" si="2"/>
        <v>-117.174999999996</v>
      </c>
      <c r="C32" s="149">
        <v>5538.674</v>
      </c>
      <c r="D32" s="33"/>
      <c r="E32" s="151"/>
      <c r="F32" s="147">
        <v>4945</v>
      </c>
      <c r="G32" s="148">
        <v>108</v>
      </c>
      <c r="H32" s="148">
        <v>4837</v>
      </c>
      <c r="I32" s="213">
        <v>167</v>
      </c>
      <c r="J32" s="204"/>
      <c r="K32" s="205">
        <f t="shared" si="0"/>
        <v>5004</v>
      </c>
      <c r="L32" s="206">
        <f t="shared" si="1"/>
        <v>417.499000000004</v>
      </c>
      <c r="M32" s="207" t="s">
        <v>131</v>
      </c>
      <c r="N32" s="210"/>
      <c r="O32" s="212"/>
    </row>
    <row r="33" ht="16.5" spans="1:16">
      <c r="A33" s="140">
        <v>44985</v>
      </c>
      <c r="B33" s="135">
        <f t="shared" si="2"/>
        <v>417.499000000004</v>
      </c>
      <c r="C33" s="152">
        <f>3643.9975+580.15+5401.27</f>
        <v>9625.4175</v>
      </c>
      <c r="D33" s="33"/>
      <c r="E33" s="153"/>
      <c r="F33" s="154">
        <v>6146</v>
      </c>
      <c r="G33" s="155">
        <v>115</v>
      </c>
      <c r="H33" s="148">
        <v>5831</v>
      </c>
      <c r="I33" s="213">
        <v>40</v>
      </c>
      <c r="J33" s="204">
        <v>45</v>
      </c>
      <c r="K33" s="205">
        <f t="shared" si="0"/>
        <v>5871</v>
      </c>
      <c r="L33" s="206">
        <f t="shared" si="1"/>
        <v>4171.9165</v>
      </c>
      <c r="M33" s="207" t="s">
        <v>132</v>
      </c>
      <c r="N33" s="210"/>
      <c r="O33" s="212"/>
      <c r="P33" s="168"/>
    </row>
    <row r="34" s="117" customFormat="1" ht="16.5" spans="1:15">
      <c r="A34" s="140"/>
      <c r="B34" s="135"/>
      <c r="C34" s="152"/>
      <c r="D34" s="33"/>
      <c r="E34" s="146"/>
      <c r="F34" s="147"/>
      <c r="G34" s="148"/>
      <c r="H34" s="148"/>
      <c r="I34" s="213"/>
      <c r="J34" s="204"/>
      <c r="K34" s="205"/>
      <c r="L34" s="216" t="s">
        <v>133</v>
      </c>
      <c r="M34" s="207"/>
      <c r="N34" s="210"/>
      <c r="O34" s="217"/>
    </row>
    <row r="35" ht="16.5" spans="1:15">
      <c r="A35" s="140"/>
      <c r="B35" s="135"/>
      <c r="C35" s="152"/>
      <c r="D35" s="33"/>
      <c r="E35" s="36"/>
      <c r="F35" s="147"/>
      <c r="G35" s="148"/>
      <c r="H35" s="148"/>
      <c r="I35" s="203"/>
      <c r="J35" s="204"/>
      <c r="K35" s="205"/>
      <c r="L35" s="206"/>
      <c r="M35" s="207"/>
      <c r="N35" s="210"/>
      <c r="O35" s="212"/>
    </row>
    <row r="36" ht="18" customHeight="1" spans="1:15">
      <c r="A36" s="140"/>
      <c r="B36" s="135"/>
      <c r="C36" s="156"/>
      <c r="D36" s="142"/>
      <c r="E36" s="142"/>
      <c r="F36" s="143"/>
      <c r="G36" s="144"/>
      <c r="H36" s="144"/>
      <c r="I36" s="203"/>
      <c r="J36" s="218"/>
      <c r="K36" s="205"/>
      <c r="L36" s="206"/>
      <c r="M36" s="219"/>
      <c r="N36" s="210"/>
      <c r="O36" s="220"/>
    </row>
    <row r="37" ht="15" spans="1:15">
      <c r="A37" s="157"/>
      <c r="B37" s="158"/>
      <c r="C37" s="159">
        <f t="shared" ref="C37:K37" si="3">SUM(C5:C36)</f>
        <v>115822.5165</v>
      </c>
      <c r="D37" s="160">
        <f t="shared" si="3"/>
        <v>0</v>
      </c>
      <c r="E37" s="161">
        <f t="shared" si="3"/>
        <v>14.1</v>
      </c>
      <c r="F37" s="162">
        <f t="shared" si="3"/>
        <v>115441</v>
      </c>
      <c r="G37" s="163">
        <f t="shared" si="3"/>
        <v>4453</v>
      </c>
      <c r="H37" s="162">
        <f t="shared" si="3"/>
        <v>110788</v>
      </c>
      <c r="I37" s="163">
        <f t="shared" si="3"/>
        <v>848.5</v>
      </c>
      <c r="J37" s="163"/>
      <c r="K37" s="221">
        <f t="shared" si="3"/>
        <v>111636.5</v>
      </c>
      <c r="L37" s="222">
        <f>SUM(B5+C37-D37-E37-K37)</f>
        <v>4171.91649999999</v>
      </c>
      <c r="M37" s="222"/>
      <c r="N37" s="223"/>
      <c r="O37" s="224"/>
    </row>
    <row r="39" ht="16.5" spans="1:11">
      <c r="A39" s="164" t="s">
        <v>20</v>
      </c>
      <c r="B39" s="165"/>
      <c r="C39" s="166" t="s">
        <v>21</v>
      </c>
      <c r="D39" s="167" t="s">
        <v>22</v>
      </c>
      <c r="E39" s="118"/>
      <c r="H39" s="164" t="s">
        <v>23</v>
      </c>
      <c r="I39" s="173" t="s">
        <v>24</v>
      </c>
      <c r="K39" s="164" t="s">
        <v>25</v>
      </c>
    </row>
    <row r="40" spans="11:13">
      <c r="K40" s="225" t="s">
        <v>134</v>
      </c>
      <c r="L40" s="226">
        <f>L37</f>
        <v>4171.91649999999</v>
      </c>
      <c r="M40" s="227" t="s">
        <v>27</v>
      </c>
    </row>
    <row r="41" spans="10:15">
      <c r="J41" s="177"/>
      <c r="K41" s="177"/>
      <c r="L41" s="177"/>
      <c r="M41" s="228"/>
      <c r="N41" s="228"/>
      <c r="O41" s="229"/>
    </row>
    <row r="42" ht="15" spans="2:12">
      <c r="B42" s="168"/>
      <c r="K42" s="118" t="s">
        <v>28</v>
      </c>
      <c r="L42" s="230"/>
    </row>
    <row r="43" spans="1:5">
      <c r="A43" s="169" t="s">
        <v>29</v>
      </c>
      <c r="B43" s="170" t="s">
        <v>30</v>
      </c>
      <c r="C43" s="171">
        <v>15</v>
      </c>
      <c r="D43" s="172"/>
      <c r="E43" s="118"/>
    </row>
    <row r="44" spans="1:5">
      <c r="A44" s="173" t="s">
        <v>31</v>
      </c>
      <c r="B44" s="174" t="s">
        <v>32</v>
      </c>
      <c r="C44" s="175">
        <f>(C37+B5)/C43</f>
        <v>7721.5011</v>
      </c>
      <c r="D44" s="172"/>
      <c r="E44" s="118"/>
    </row>
    <row r="45" spans="1:5">
      <c r="A45" s="173" t="s">
        <v>33</v>
      </c>
      <c r="B45" s="174" t="s">
        <v>34</v>
      </c>
      <c r="C45" s="175">
        <f>(B5+C37-D37)/C43</f>
        <v>7721.5011</v>
      </c>
      <c r="D45" s="172"/>
      <c r="E45" s="118"/>
    </row>
    <row r="46" ht="15" spans="1:8">
      <c r="A46" s="173" t="s">
        <v>23</v>
      </c>
      <c r="B46" s="174" t="s">
        <v>35</v>
      </c>
      <c r="C46" s="175">
        <f>H37/C43</f>
        <v>7385.86666666667</v>
      </c>
      <c r="D46" s="176" t="s">
        <v>36</v>
      </c>
      <c r="E46" s="176"/>
      <c r="F46" s="177"/>
      <c r="G46" s="178"/>
      <c r="H46" s="118" t="s">
        <v>37</v>
      </c>
    </row>
    <row r="47" ht="17.25" spans="1:6">
      <c r="A47" s="173" t="s">
        <v>25</v>
      </c>
      <c r="B47" s="174" t="s">
        <v>38</v>
      </c>
      <c r="C47" s="175">
        <f>(K37)/C43</f>
        <v>7442.43333333333</v>
      </c>
      <c r="D47" s="179" t="s">
        <v>39</v>
      </c>
      <c r="E47" s="180">
        <f>(C45-C47)</f>
        <v>279.067766666666</v>
      </c>
      <c r="F47" s="181"/>
    </row>
    <row r="48" ht="17.25" spans="1:5">
      <c r="A48" s="173" t="s">
        <v>24</v>
      </c>
      <c r="B48" s="182" t="s">
        <v>40</v>
      </c>
      <c r="C48" s="183">
        <f>(I37/H37)</f>
        <v>0.00765877170812723</v>
      </c>
      <c r="D48" s="184" t="s">
        <v>39</v>
      </c>
      <c r="E48" s="185">
        <f>E47/C45</f>
        <v>0.0361416469482425</v>
      </c>
    </row>
    <row r="49" spans="2:5">
      <c r="B49" s="118"/>
      <c r="D49" s="172"/>
      <c r="E49" s="118"/>
    </row>
  </sheetData>
  <mergeCells count="12">
    <mergeCell ref="A1:O1"/>
    <mergeCell ref="F3:I3"/>
    <mergeCell ref="A3:A4"/>
    <mergeCell ref="B3:B4"/>
    <mergeCell ref="C3:C4"/>
    <mergeCell ref="D3:D4"/>
    <mergeCell ref="E3:E4"/>
    <mergeCell ref="K3:K4"/>
    <mergeCell ref="L3:L4"/>
    <mergeCell ref="M3:M4"/>
    <mergeCell ref="N3:N4"/>
    <mergeCell ref="O3:O5"/>
  </mergeCells>
  <pageMargins left="0.708661417322835" right="0.708661417322835" top="0.748031496062992" bottom="0.748031496062992" header="0.31496062992126" footer="0.31496062992126"/>
  <pageSetup paperSize="9" scale="80" orientation="landscape" horizontalDpi="200" verticalDpi="300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9"/>
  <sheetViews>
    <sheetView workbookViewId="0">
      <selection activeCell="M16" sqref="M16"/>
    </sheetView>
  </sheetViews>
  <sheetFormatPr defaultColWidth="10.4416666666667" defaultRowHeight="14.25"/>
  <cols>
    <col min="1" max="1" width="13.2166666666667" style="2" customWidth="1"/>
    <col min="2" max="2" width="17.775" style="3" customWidth="1"/>
    <col min="3" max="3" width="13.5583333333333" style="3" customWidth="1"/>
    <col min="4" max="4" width="10.4416666666667" style="4"/>
    <col min="5" max="5" width="10.4416666666667" style="2"/>
    <col min="6" max="6" width="12.5583333333333" style="3" customWidth="1"/>
    <col min="7" max="7" width="10.5583333333333" style="3" customWidth="1"/>
    <col min="8" max="8" width="12.5583333333333" style="3" customWidth="1"/>
    <col min="9" max="9" width="10.5583333333333" style="3" customWidth="1"/>
    <col min="10" max="10" width="13.8833333333333" style="3" customWidth="1"/>
    <col min="11" max="11" width="15.2166666666667" style="3" customWidth="1"/>
    <col min="12" max="13" width="14.4416666666667" style="3" customWidth="1"/>
    <col min="14" max="14" width="13.4416666666667" style="5" customWidth="1"/>
    <col min="15" max="15" width="10.4416666666667" style="6"/>
    <col min="16" max="16384" width="10.4416666666667" style="2"/>
  </cols>
  <sheetData>
    <row r="1" ht="30" spans="1:15">
      <c r="A1" s="7" t="s">
        <v>135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0.25" spans="1:12">
      <c r="A2" s="8" t="s">
        <v>1</v>
      </c>
      <c r="L2" s="3" t="s">
        <v>2</v>
      </c>
    </row>
    <row r="3" spans="1:15">
      <c r="A3" s="9" t="s">
        <v>3</v>
      </c>
      <c r="B3" s="10" t="s">
        <v>4</v>
      </c>
      <c r="C3" s="11" t="s">
        <v>5</v>
      </c>
      <c r="D3" s="9" t="s">
        <v>6</v>
      </c>
      <c r="E3" s="9" t="s">
        <v>7</v>
      </c>
      <c r="F3" s="12" t="s">
        <v>8</v>
      </c>
      <c r="G3" s="13"/>
      <c r="H3" s="13"/>
      <c r="I3" s="13"/>
      <c r="J3" s="72"/>
      <c r="K3" s="73" t="s">
        <v>9</v>
      </c>
      <c r="L3" s="74" t="s">
        <v>10</v>
      </c>
      <c r="M3" s="74" t="s">
        <v>11</v>
      </c>
      <c r="N3" s="75" t="s">
        <v>12</v>
      </c>
      <c r="O3" s="76" t="s">
        <v>13</v>
      </c>
    </row>
    <row r="4" ht="15" spans="1:15">
      <c r="A4" s="14"/>
      <c r="B4" s="15"/>
      <c r="C4" s="16"/>
      <c r="D4" s="14"/>
      <c r="E4" s="14"/>
      <c r="F4" s="17" t="s">
        <v>14</v>
      </c>
      <c r="G4" s="18" t="s">
        <v>15</v>
      </c>
      <c r="H4" s="18" t="s">
        <v>16</v>
      </c>
      <c r="I4" s="77" t="s">
        <v>17</v>
      </c>
      <c r="J4" s="78" t="s">
        <v>18</v>
      </c>
      <c r="K4" s="79"/>
      <c r="L4" s="80"/>
      <c r="M4" s="80"/>
      <c r="N4" s="81"/>
      <c r="O4" s="82"/>
    </row>
    <row r="5" ht="15" spans="1:15">
      <c r="A5" s="19" t="s">
        <v>19</v>
      </c>
      <c r="B5" s="20">
        <v>0</v>
      </c>
      <c r="C5" s="21"/>
      <c r="D5" s="22"/>
      <c r="E5" s="22"/>
      <c r="F5" s="23"/>
      <c r="G5" s="24"/>
      <c r="H5" s="24"/>
      <c r="I5" s="83"/>
      <c r="J5" s="72"/>
      <c r="K5" s="84"/>
      <c r="L5" s="85"/>
      <c r="M5" s="86"/>
      <c r="N5" s="87"/>
      <c r="O5" s="88"/>
    </row>
    <row r="6" ht="16.5" spans="1:15">
      <c r="A6" s="25">
        <v>44927</v>
      </c>
      <c r="B6" s="26">
        <f>B5</f>
        <v>0</v>
      </c>
      <c r="C6" s="26"/>
      <c r="D6" s="27"/>
      <c r="E6" s="27"/>
      <c r="F6" s="28"/>
      <c r="G6" s="29"/>
      <c r="H6" s="29"/>
      <c r="I6" s="89"/>
      <c r="J6" s="90"/>
      <c r="K6" s="91">
        <f t="shared" ref="K6:K26" si="0">SUM(H6+I6)</f>
        <v>0</v>
      </c>
      <c r="L6" s="92">
        <f>B6+C6-D6-E6-K6</f>
        <v>0</v>
      </c>
      <c r="M6" s="93"/>
      <c r="N6" s="94">
        <v>0</v>
      </c>
      <c r="O6" s="95"/>
    </row>
    <row r="7" ht="16.5" spans="1:15">
      <c r="A7" s="25">
        <v>44928</v>
      </c>
      <c r="B7" s="26">
        <f>SUM(L6)</f>
        <v>0</v>
      </c>
      <c r="C7" s="26"/>
      <c r="D7" s="30"/>
      <c r="E7" s="31"/>
      <c r="F7" s="28"/>
      <c r="G7" s="29"/>
      <c r="H7" s="29"/>
      <c r="I7" s="89"/>
      <c r="J7" s="90"/>
      <c r="K7" s="91">
        <f t="shared" si="0"/>
        <v>0</v>
      </c>
      <c r="L7" s="92">
        <f t="shared" ref="L7:L36" si="1">B7+C7-D7-E7-K7</f>
        <v>0</v>
      </c>
      <c r="M7" s="93"/>
      <c r="N7" s="96"/>
      <c r="O7" s="97"/>
    </row>
    <row r="8" ht="16.5" spans="1:15">
      <c r="A8" s="25">
        <v>44929</v>
      </c>
      <c r="B8" s="26">
        <f>SUM(L7)</f>
        <v>0</v>
      </c>
      <c r="C8" s="26">
        <f>1672.335+4163.625+2590.405</f>
        <v>8426.365</v>
      </c>
      <c r="D8" s="30"/>
      <c r="E8" s="31"/>
      <c r="F8" s="28">
        <v>5702</v>
      </c>
      <c r="G8" s="29">
        <v>103</v>
      </c>
      <c r="H8" s="29">
        <v>5599</v>
      </c>
      <c r="I8" s="89">
        <v>100.6</v>
      </c>
      <c r="J8" s="90">
        <v>39</v>
      </c>
      <c r="K8" s="91">
        <f t="shared" si="0"/>
        <v>5699.6</v>
      </c>
      <c r="L8" s="92">
        <f t="shared" si="1"/>
        <v>2726.765</v>
      </c>
      <c r="M8" s="93" t="s">
        <v>121</v>
      </c>
      <c r="N8" s="96"/>
      <c r="O8" s="98"/>
    </row>
    <row r="9" ht="16.5" spans="1:15">
      <c r="A9" s="25">
        <v>44930</v>
      </c>
      <c r="B9" s="26">
        <f t="shared" ref="B9:B36" si="2">SUM(L8)</f>
        <v>2726.765</v>
      </c>
      <c r="C9" s="26">
        <v>14376.185</v>
      </c>
      <c r="D9" s="32"/>
      <c r="E9" s="33"/>
      <c r="F9" s="28">
        <v>12081</v>
      </c>
      <c r="G9" s="29">
        <v>648</v>
      </c>
      <c r="H9" s="29">
        <v>11370</v>
      </c>
      <c r="I9" s="89">
        <v>92.3</v>
      </c>
      <c r="J9" s="90"/>
      <c r="K9" s="91">
        <f t="shared" si="0"/>
        <v>11462.3</v>
      </c>
      <c r="L9" s="92">
        <f t="shared" si="1"/>
        <v>5640.65</v>
      </c>
      <c r="M9" s="93" t="s">
        <v>136</v>
      </c>
      <c r="N9" s="96"/>
      <c r="O9" s="98"/>
    </row>
    <row r="10" ht="16.5" spans="1:16">
      <c r="A10" s="25">
        <v>44931</v>
      </c>
      <c r="B10" s="26">
        <f t="shared" si="2"/>
        <v>5640.65</v>
      </c>
      <c r="C10" s="26">
        <v>9975.815</v>
      </c>
      <c r="D10" s="32"/>
      <c r="E10" s="33"/>
      <c r="F10" s="34">
        <v>12579</v>
      </c>
      <c r="G10" s="35">
        <v>705</v>
      </c>
      <c r="H10" s="35">
        <v>11874</v>
      </c>
      <c r="I10" s="99"/>
      <c r="J10" s="90"/>
      <c r="K10" s="91">
        <f t="shared" si="0"/>
        <v>11874</v>
      </c>
      <c r="L10" s="92">
        <f t="shared" si="1"/>
        <v>3742.465</v>
      </c>
      <c r="M10" s="93" t="s">
        <v>57</v>
      </c>
      <c r="N10" s="96"/>
      <c r="O10" s="98"/>
      <c r="P10" s="100"/>
    </row>
    <row r="11" ht="16.5" spans="1:15">
      <c r="A11" s="25">
        <v>44932</v>
      </c>
      <c r="B11" s="26">
        <f t="shared" si="2"/>
        <v>3742.465</v>
      </c>
      <c r="C11" s="26">
        <v>4457.2</v>
      </c>
      <c r="E11" s="33"/>
      <c r="F11" s="34">
        <v>6673</v>
      </c>
      <c r="G11" s="35">
        <v>320</v>
      </c>
      <c r="H11" s="35">
        <v>6353</v>
      </c>
      <c r="I11" s="99">
        <v>28.5</v>
      </c>
      <c r="J11" s="90">
        <v>49</v>
      </c>
      <c r="K11" s="91">
        <f t="shared" si="0"/>
        <v>6381.5</v>
      </c>
      <c r="L11" s="92">
        <f t="shared" si="1"/>
        <v>1818.165</v>
      </c>
      <c r="M11" s="93" t="s">
        <v>57</v>
      </c>
      <c r="N11" s="96"/>
      <c r="O11" s="98"/>
    </row>
    <row r="12" ht="16.5" spans="1:15">
      <c r="A12" s="25">
        <v>44933</v>
      </c>
      <c r="B12" s="26">
        <f t="shared" si="2"/>
        <v>1818.165</v>
      </c>
      <c r="C12" s="26">
        <v>290</v>
      </c>
      <c r="D12" s="32"/>
      <c r="E12" s="33"/>
      <c r="F12" s="34">
        <v>1939</v>
      </c>
      <c r="G12" s="35">
        <v>36</v>
      </c>
      <c r="H12" s="35">
        <v>1903</v>
      </c>
      <c r="I12" s="99">
        <v>21.6</v>
      </c>
      <c r="J12" s="90"/>
      <c r="K12" s="91">
        <f t="shared" si="0"/>
        <v>1924.6</v>
      </c>
      <c r="L12" s="92">
        <f t="shared" si="1"/>
        <v>183.564999999997</v>
      </c>
      <c r="M12" s="93" t="s">
        <v>102</v>
      </c>
      <c r="N12" s="96"/>
      <c r="O12" s="98"/>
    </row>
    <row r="13" ht="16.5" spans="1:15">
      <c r="A13" s="25">
        <v>44934</v>
      </c>
      <c r="B13" s="26">
        <f t="shared" si="2"/>
        <v>183.564999999997</v>
      </c>
      <c r="C13" s="26"/>
      <c r="D13" s="32"/>
      <c r="E13" s="33"/>
      <c r="F13" s="34"/>
      <c r="G13" s="35"/>
      <c r="H13" s="35"/>
      <c r="I13" s="99"/>
      <c r="J13" s="90"/>
      <c r="K13" s="91">
        <f t="shared" si="0"/>
        <v>0</v>
      </c>
      <c r="L13" s="92">
        <f t="shared" si="1"/>
        <v>183.564999999997</v>
      </c>
      <c r="M13" s="93"/>
      <c r="N13" s="96"/>
      <c r="O13" s="98"/>
    </row>
    <row r="14" ht="16.5" spans="1:15">
      <c r="A14" s="25">
        <v>44935</v>
      </c>
      <c r="B14" s="26">
        <f t="shared" si="2"/>
        <v>183.564999999997</v>
      </c>
      <c r="C14" s="26"/>
      <c r="D14" s="32"/>
      <c r="E14" s="33"/>
      <c r="F14" s="34"/>
      <c r="G14" s="35"/>
      <c r="H14" s="35"/>
      <c r="I14" s="99"/>
      <c r="J14" s="90"/>
      <c r="K14" s="91">
        <f t="shared" si="0"/>
        <v>0</v>
      </c>
      <c r="L14" s="92">
        <f t="shared" si="1"/>
        <v>183.564999999997</v>
      </c>
      <c r="M14" s="93"/>
      <c r="N14" s="96"/>
      <c r="O14" s="98"/>
    </row>
    <row r="15" ht="16.5" spans="1:15">
      <c r="A15" s="25">
        <v>44936</v>
      </c>
      <c r="B15" s="26">
        <f t="shared" si="2"/>
        <v>183.564999999997</v>
      </c>
      <c r="C15" s="26"/>
      <c r="D15" s="32"/>
      <c r="E15" s="33"/>
      <c r="F15" s="34"/>
      <c r="G15" s="35"/>
      <c r="H15" s="35"/>
      <c r="I15" s="99"/>
      <c r="J15" s="90"/>
      <c r="K15" s="91">
        <f t="shared" si="0"/>
        <v>0</v>
      </c>
      <c r="L15" s="92">
        <f t="shared" si="1"/>
        <v>183.564999999997</v>
      </c>
      <c r="M15" s="93"/>
      <c r="N15" s="96"/>
      <c r="O15" s="98"/>
    </row>
    <row r="16" ht="16.5" spans="1:15">
      <c r="A16" s="25">
        <v>44937</v>
      </c>
      <c r="B16" s="26">
        <f t="shared" si="2"/>
        <v>183.564999999997</v>
      </c>
      <c r="C16" s="26"/>
      <c r="D16" s="32"/>
      <c r="E16" s="33"/>
      <c r="F16" s="34"/>
      <c r="G16" s="35"/>
      <c r="H16" s="29"/>
      <c r="I16" s="89"/>
      <c r="J16" s="90"/>
      <c r="K16" s="91">
        <f t="shared" si="0"/>
        <v>0</v>
      </c>
      <c r="L16" s="92">
        <f t="shared" si="1"/>
        <v>183.564999999997</v>
      </c>
      <c r="M16" s="93"/>
      <c r="N16" s="96"/>
      <c r="O16" s="98"/>
    </row>
    <row r="17" ht="16.5" spans="1:15">
      <c r="A17" s="25">
        <v>44938</v>
      </c>
      <c r="B17" s="26">
        <f t="shared" si="2"/>
        <v>183.564999999997</v>
      </c>
      <c r="C17" s="26">
        <v>50.3</v>
      </c>
      <c r="D17" s="32"/>
      <c r="E17" s="36"/>
      <c r="F17" s="37">
        <v>51</v>
      </c>
      <c r="G17" s="35">
        <v>3</v>
      </c>
      <c r="H17" s="35">
        <v>48</v>
      </c>
      <c r="I17" s="89"/>
      <c r="J17" s="90"/>
      <c r="K17" s="91">
        <f t="shared" si="0"/>
        <v>48</v>
      </c>
      <c r="L17" s="92">
        <f t="shared" si="1"/>
        <v>185.864999999997</v>
      </c>
      <c r="M17" s="93" t="s">
        <v>137</v>
      </c>
      <c r="N17" s="96"/>
      <c r="O17" s="98"/>
    </row>
    <row r="18" ht="16.5" spans="1:16">
      <c r="A18" s="25">
        <v>44939</v>
      </c>
      <c r="B18" s="26">
        <f t="shared" si="2"/>
        <v>185.864999999997</v>
      </c>
      <c r="C18" s="26"/>
      <c r="D18" s="32"/>
      <c r="E18" s="38"/>
      <c r="F18" s="34"/>
      <c r="G18" s="35"/>
      <c r="H18" s="35"/>
      <c r="I18" s="89"/>
      <c r="J18" s="90"/>
      <c r="K18" s="91">
        <f t="shared" si="0"/>
        <v>0</v>
      </c>
      <c r="L18" s="92">
        <f t="shared" si="1"/>
        <v>185.864999999997</v>
      </c>
      <c r="M18" s="93"/>
      <c r="N18" s="96"/>
      <c r="O18" s="98"/>
      <c r="P18" s="100"/>
    </row>
    <row r="19" ht="16.5" spans="1:15">
      <c r="A19" s="25">
        <v>44940</v>
      </c>
      <c r="B19" s="26">
        <f t="shared" si="2"/>
        <v>185.864999999997</v>
      </c>
      <c r="C19" s="26"/>
      <c r="D19" s="32"/>
      <c r="E19" s="36"/>
      <c r="F19" s="34"/>
      <c r="G19" s="35"/>
      <c r="H19" s="35"/>
      <c r="I19" s="99"/>
      <c r="J19" s="90"/>
      <c r="K19" s="91">
        <f t="shared" si="0"/>
        <v>0</v>
      </c>
      <c r="L19" s="92">
        <f t="shared" si="1"/>
        <v>185.864999999997</v>
      </c>
      <c r="M19" s="93"/>
      <c r="N19" s="96"/>
      <c r="O19" s="98"/>
    </row>
    <row r="20" ht="16.5" spans="1:15">
      <c r="A20" s="25">
        <v>44941</v>
      </c>
      <c r="B20" s="26">
        <f t="shared" si="2"/>
        <v>185.864999999997</v>
      </c>
      <c r="C20" s="26"/>
      <c r="D20" s="32"/>
      <c r="E20" s="33"/>
      <c r="F20" s="34"/>
      <c r="G20" s="35"/>
      <c r="H20" s="35"/>
      <c r="I20" s="99"/>
      <c r="J20" s="90"/>
      <c r="K20" s="91">
        <f t="shared" si="0"/>
        <v>0</v>
      </c>
      <c r="L20" s="92">
        <f t="shared" si="1"/>
        <v>185.864999999997</v>
      </c>
      <c r="M20" s="93"/>
      <c r="N20" s="96"/>
      <c r="O20" s="98"/>
    </row>
    <row r="21" ht="16.5" spans="1:15">
      <c r="A21" s="25">
        <v>44942</v>
      </c>
      <c r="B21" s="26">
        <f t="shared" si="2"/>
        <v>185.864999999997</v>
      </c>
      <c r="C21" s="26"/>
      <c r="D21" s="32"/>
      <c r="E21" s="36"/>
      <c r="F21" s="34"/>
      <c r="G21" s="35"/>
      <c r="H21" s="35"/>
      <c r="I21" s="99"/>
      <c r="J21" s="90"/>
      <c r="K21" s="91">
        <f t="shared" si="0"/>
        <v>0</v>
      </c>
      <c r="L21" s="92">
        <f t="shared" si="1"/>
        <v>185.864999999997</v>
      </c>
      <c r="M21" s="93"/>
      <c r="N21" s="96"/>
      <c r="O21" s="98"/>
    </row>
    <row r="22" ht="16.5" spans="1:15">
      <c r="A22" s="25">
        <v>44943</v>
      </c>
      <c r="B22" s="26">
        <f t="shared" si="2"/>
        <v>185.864999999997</v>
      </c>
      <c r="C22" s="26"/>
      <c r="D22" s="32"/>
      <c r="E22" s="36"/>
      <c r="F22" s="34"/>
      <c r="G22" s="35"/>
      <c r="H22" s="35"/>
      <c r="I22" s="99"/>
      <c r="J22" s="90"/>
      <c r="K22" s="91">
        <f t="shared" si="0"/>
        <v>0</v>
      </c>
      <c r="L22" s="92">
        <f t="shared" si="1"/>
        <v>185.864999999997</v>
      </c>
      <c r="M22" s="93"/>
      <c r="N22" s="96"/>
      <c r="O22" s="98"/>
    </row>
    <row r="23" ht="16.5" spans="1:15">
      <c r="A23" s="25">
        <v>44944</v>
      </c>
      <c r="B23" s="26">
        <f t="shared" si="2"/>
        <v>185.864999999997</v>
      </c>
      <c r="C23" s="26"/>
      <c r="D23" s="32"/>
      <c r="E23" s="33"/>
      <c r="F23" s="34"/>
      <c r="G23" s="35"/>
      <c r="H23" s="35"/>
      <c r="I23" s="99"/>
      <c r="J23" s="90"/>
      <c r="K23" s="91">
        <f t="shared" si="0"/>
        <v>0</v>
      </c>
      <c r="L23" s="92">
        <f t="shared" si="1"/>
        <v>185.864999999997</v>
      </c>
      <c r="M23" s="93"/>
      <c r="N23" s="101"/>
      <c r="O23" s="98"/>
    </row>
    <row r="24" ht="16.5" spans="1:15">
      <c r="A24" s="25">
        <v>44945</v>
      </c>
      <c r="B24" s="26">
        <f t="shared" si="2"/>
        <v>185.864999999997</v>
      </c>
      <c r="C24" s="26"/>
      <c r="D24" s="32"/>
      <c r="E24" s="36"/>
      <c r="F24" s="34"/>
      <c r="G24" s="35"/>
      <c r="H24" s="35"/>
      <c r="I24" s="99"/>
      <c r="J24" s="90"/>
      <c r="K24" s="91">
        <f t="shared" si="0"/>
        <v>0</v>
      </c>
      <c r="L24" s="92">
        <f t="shared" si="1"/>
        <v>185.864999999997</v>
      </c>
      <c r="M24" s="93"/>
      <c r="N24" s="96"/>
      <c r="O24" s="98"/>
    </row>
    <row r="25" ht="16.5" spans="1:15">
      <c r="A25" s="25">
        <v>44946</v>
      </c>
      <c r="B25" s="26">
        <f t="shared" si="2"/>
        <v>185.864999999997</v>
      </c>
      <c r="C25" s="26"/>
      <c r="D25" s="32"/>
      <c r="E25" s="36"/>
      <c r="F25" s="34"/>
      <c r="G25" s="35"/>
      <c r="H25" s="35"/>
      <c r="I25" s="89"/>
      <c r="J25" s="90"/>
      <c r="K25" s="91">
        <f t="shared" si="0"/>
        <v>0</v>
      </c>
      <c r="L25" s="92">
        <f t="shared" si="1"/>
        <v>185.864999999997</v>
      </c>
      <c r="M25" s="93"/>
      <c r="N25" s="96"/>
      <c r="O25" s="98"/>
    </row>
    <row r="26" ht="16.5" spans="1:15">
      <c r="A26" s="25">
        <v>44947</v>
      </c>
      <c r="B26" s="26">
        <f t="shared" si="2"/>
        <v>185.864999999997</v>
      </c>
      <c r="C26" s="26"/>
      <c r="D26" s="32"/>
      <c r="E26" s="36"/>
      <c r="F26" s="34"/>
      <c r="G26" s="35"/>
      <c r="H26" s="29"/>
      <c r="I26" s="89"/>
      <c r="J26" s="90"/>
      <c r="K26" s="91">
        <f t="shared" si="0"/>
        <v>0</v>
      </c>
      <c r="L26" s="92">
        <f t="shared" si="1"/>
        <v>185.864999999997</v>
      </c>
      <c r="M26" s="93"/>
      <c r="N26" s="96"/>
      <c r="O26" s="98"/>
    </row>
    <row r="27" ht="16.5" spans="1:16">
      <c r="A27" s="25">
        <v>44948</v>
      </c>
      <c r="B27" s="26">
        <f t="shared" si="2"/>
        <v>185.864999999997</v>
      </c>
      <c r="C27" s="26"/>
      <c r="D27" s="32"/>
      <c r="E27" s="39"/>
      <c r="F27" s="34"/>
      <c r="G27" s="35"/>
      <c r="H27" s="35"/>
      <c r="I27" s="89"/>
      <c r="J27" s="90"/>
      <c r="K27" s="91">
        <f t="shared" ref="K27:K36" si="3">SUM(H27+I27)</f>
        <v>0</v>
      </c>
      <c r="L27" s="92">
        <f t="shared" si="1"/>
        <v>185.864999999997</v>
      </c>
      <c r="M27" s="93"/>
      <c r="N27" s="96"/>
      <c r="O27" s="98"/>
      <c r="P27" s="100"/>
    </row>
    <row r="28" ht="16.5" spans="1:15">
      <c r="A28" s="25">
        <v>44949</v>
      </c>
      <c r="B28" s="26">
        <f t="shared" si="2"/>
        <v>185.864999999997</v>
      </c>
      <c r="C28" s="26"/>
      <c r="D28" s="32"/>
      <c r="E28" s="39"/>
      <c r="F28" s="34"/>
      <c r="G28" s="35"/>
      <c r="H28" s="35"/>
      <c r="I28" s="89"/>
      <c r="J28" s="90"/>
      <c r="K28" s="91">
        <f t="shared" si="3"/>
        <v>0</v>
      </c>
      <c r="L28" s="92">
        <f t="shared" si="1"/>
        <v>185.864999999997</v>
      </c>
      <c r="M28" s="93"/>
      <c r="N28" s="96"/>
      <c r="O28" s="98"/>
    </row>
    <row r="29" ht="16.5" spans="1:15">
      <c r="A29" s="25">
        <v>44950</v>
      </c>
      <c r="B29" s="26">
        <f t="shared" si="2"/>
        <v>185.864999999997</v>
      </c>
      <c r="C29" s="26"/>
      <c r="D29" s="32"/>
      <c r="E29" s="39"/>
      <c r="F29" s="34"/>
      <c r="G29" s="35"/>
      <c r="H29" s="35"/>
      <c r="I29" s="99"/>
      <c r="J29" s="90"/>
      <c r="K29" s="91">
        <f t="shared" si="3"/>
        <v>0</v>
      </c>
      <c r="L29" s="92">
        <f t="shared" si="1"/>
        <v>185.864999999997</v>
      </c>
      <c r="M29" s="93"/>
      <c r="N29" s="96"/>
      <c r="O29" s="98"/>
    </row>
    <row r="30" ht="16.5" spans="1:15">
      <c r="A30" s="25">
        <v>44951</v>
      </c>
      <c r="B30" s="26">
        <f t="shared" si="2"/>
        <v>185.864999999997</v>
      </c>
      <c r="C30" s="26"/>
      <c r="D30" s="32"/>
      <c r="E30" s="39"/>
      <c r="F30" s="34"/>
      <c r="G30" s="35"/>
      <c r="H30" s="35"/>
      <c r="I30" s="99"/>
      <c r="J30" s="90"/>
      <c r="K30" s="91">
        <f t="shared" si="3"/>
        <v>0</v>
      </c>
      <c r="L30" s="92">
        <f t="shared" si="1"/>
        <v>185.864999999997</v>
      </c>
      <c r="M30" s="93"/>
      <c r="N30" s="96"/>
      <c r="O30" s="98"/>
    </row>
    <row r="31" ht="16.5" spans="1:15">
      <c r="A31" s="25">
        <v>44952</v>
      </c>
      <c r="B31" s="26">
        <f t="shared" si="2"/>
        <v>185.864999999997</v>
      </c>
      <c r="C31" s="40"/>
      <c r="D31" s="32"/>
      <c r="E31" s="39"/>
      <c r="F31" s="34"/>
      <c r="G31" s="35"/>
      <c r="H31" s="35"/>
      <c r="I31" s="99"/>
      <c r="J31" s="90"/>
      <c r="K31" s="91">
        <f t="shared" si="3"/>
        <v>0</v>
      </c>
      <c r="L31" s="92">
        <f t="shared" si="1"/>
        <v>185.864999999997</v>
      </c>
      <c r="M31" s="93"/>
      <c r="N31" s="96"/>
      <c r="O31" s="98"/>
    </row>
    <row r="32" ht="16.5" spans="1:15">
      <c r="A32" s="25">
        <v>44953</v>
      </c>
      <c r="B32" s="26">
        <f t="shared" si="2"/>
        <v>185.864999999997</v>
      </c>
      <c r="C32" s="41"/>
      <c r="D32" s="32"/>
      <c r="E32" s="39"/>
      <c r="F32" s="34"/>
      <c r="G32" s="35"/>
      <c r="H32" s="35"/>
      <c r="I32" s="99"/>
      <c r="J32" s="90"/>
      <c r="K32" s="91">
        <f t="shared" si="3"/>
        <v>0</v>
      </c>
      <c r="L32" s="92">
        <f t="shared" si="1"/>
        <v>185.864999999997</v>
      </c>
      <c r="M32" s="93"/>
      <c r="N32" s="96"/>
      <c r="O32" s="98"/>
    </row>
    <row r="33" ht="16.5" spans="1:16">
      <c r="A33" s="25">
        <v>44954</v>
      </c>
      <c r="B33" s="26">
        <f t="shared" si="2"/>
        <v>185.864999999997</v>
      </c>
      <c r="C33" s="41"/>
      <c r="D33" s="32"/>
      <c r="E33" s="39"/>
      <c r="F33" s="34"/>
      <c r="G33" s="35"/>
      <c r="H33" s="35"/>
      <c r="I33" s="99"/>
      <c r="J33" s="90"/>
      <c r="K33" s="91">
        <f t="shared" si="3"/>
        <v>0</v>
      </c>
      <c r="L33" s="92">
        <f t="shared" si="1"/>
        <v>185.864999999997</v>
      </c>
      <c r="M33" s="93"/>
      <c r="N33" s="96"/>
      <c r="O33" s="98"/>
      <c r="P33" s="100"/>
    </row>
    <row r="34" s="1" customFormat="1" ht="16.5" spans="1:15">
      <c r="A34" s="25">
        <v>44955</v>
      </c>
      <c r="B34" s="26">
        <f t="shared" si="2"/>
        <v>185.864999999997</v>
      </c>
      <c r="C34" s="41"/>
      <c r="D34" s="32"/>
      <c r="E34" s="39"/>
      <c r="F34" s="34"/>
      <c r="G34" s="35"/>
      <c r="H34" s="35"/>
      <c r="I34" s="99"/>
      <c r="J34" s="90"/>
      <c r="K34" s="91">
        <f t="shared" si="3"/>
        <v>0</v>
      </c>
      <c r="L34" s="92">
        <f t="shared" si="1"/>
        <v>185.864999999997</v>
      </c>
      <c r="M34" s="93"/>
      <c r="N34" s="96"/>
      <c r="O34" s="102"/>
    </row>
    <row r="35" ht="16.5" spans="1:15">
      <c r="A35" s="25">
        <v>44956</v>
      </c>
      <c r="B35" s="26">
        <f t="shared" si="2"/>
        <v>185.864999999997</v>
      </c>
      <c r="C35" s="41"/>
      <c r="D35" s="32"/>
      <c r="E35" s="39"/>
      <c r="F35" s="34"/>
      <c r="G35" s="35"/>
      <c r="H35" s="35"/>
      <c r="I35" s="89"/>
      <c r="J35" s="90"/>
      <c r="K35" s="91">
        <f t="shared" si="3"/>
        <v>0</v>
      </c>
      <c r="L35" s="92">
        <f t="shared" si="1"/>
        <v>185.864999999997</v>
      </c>
      <c r="M35" s="93"/>
      <c r="N35" s="96"/>
      <c r="O35" s="98"/>
    </row>
    <row r="36" ht="18" customHeight="1" spans="1:15">
      <c r="A36" s="25">
        <v>44957</v>
      </c>
      <c r="B36" s="26">
        <f t="shared" si="2"/>
        <v>185.864999999997</v>
      </c>
      <c r="C36" s="42"/>
      <c r="D36" s="27"/>
      <c r="E36" s="27"/>
      <c r="F36" s="28"/>
      <c r="G36" s="29"/>
      <c r="H36" s="29"/>
      <c r="I36" s="89">
        <v>0</v>
      </c>
      <c r="J36" s="103">
        <v>0</v>
      </c>
      <c r="K36" s="91">
        <f t="shared" si="3"/>
        <v>0</v>
      </c>
      <c r="L36" s="92">
        <f t="shared" si="1"/>
        <v>185.864999999997</v>
      </c>
      <c r="M36" s="104"/>
      <c r="N36" s="96"/>
      <c r="O36" s="105"/>
    </row>
    <row r="37" ht="15" spans="1:15">
      <c r="A37" s="43"/>
      <c r="B37" s="44"/>
      <c r="C37" s="45">
        <f t="shared" ref="C37:K37" si="4">SUM(C5:C36)</f>
        <v>37575.865</v>
      </c>
      <c r="D37" s="46">
        <f t="shared" si="4"/>
        <v>0</v>
      </c>
      <c r="E37" s="47">
        <f t="shared" si="4"/>
        <v>0</v>
      </c>
      <c r="F37" s="48">
        <f t="shared" si="4"/>
        <v>39025</v>
      </c>
      <c r="G37" s="49">
        <f t="shared" si="4"/>
        <v>1815</v>
      </c>
      <c r="H37" s="48">
        <f t="shared" si="4"/>
        <v>37147</v>
      </c>
      <c r="I37" s="49">
        <f t="shared" si="4"/>
        <v>243</v>
      </c>
      <c r="J37" s="49"/>
      <c r="K37" s="106">
        <f t="shared" si="4"/>
        <v>37390</v>
      </c>
      <c r="L37" s="107">
        <f>SUM(B5+C37-D37-E37-K37)</f>
        <v>185.864999999998</v>
      </c>
      <c r="M37" s="107"/>
      <c r="N37" s="108"/>
      <c r="O37" s="109"/>
    </row>
    <row r="39" ht="17.25" spans="1:16">
      <c r="A39" s="50" t="s">
        <v>20</v>
      </c>
      <c r="B39" s="51"/>
      <c r="C39" s="52" t="s">
        <v>21</v>
      </c>
      <c r="D39" s="53" t="s">
        <v>22</v>
      </c>
      <c r="E39" s="3"/>
      <c r="H39" s="50" t="s">
        <v>23</v>
      </c>
      <c r="I39" s="59" t="s">
        <v>24</v>
      </c>
      <c r="K39" s="50" t="s">
        <v>25</v>
      </c>
      <c r="P39" s="6"/>
    </row>
    <row r="40" ht="15" spans="11:13">
      <c r="K40" s="110" t="s">
        <v>138</v>
      </c>
      <c r="L40" s="111">
        <f>L37</f>
        <v>185.864999999998</v>
      </c>
      <c r="M40" s="112" t="s">
        <v>27</v>
      </c>
    </row>
    <row r="41" spans="11:16">
      <c r="K41" s="113"/>
      <c r="L41" s="113"/>
      <c r="N41" s="114"/>
      <c r="O41" s="5"/>
      <c r="P41" s="6"/>
    </row>
    <row r="42" ht="15" spans="2:12">
      <c r="B42" s="54"/>
      <c r="J42" s="113"/>
      <c r="K42" s="113" t="s">
        <v>28</v>
      </c>
      <c r="L42" s="115"/>
    </row>
    <row r="43" spans="1:5">
      <c r="A43" s="55" t="s">
        <v>29</v>
      </c>
      <c r="B43" s="56" t="s">
        <v>30</v>
      </c>
      <c r="C43" s="57">
        <v>6</v>
      </c>
      <c r="D43" s="58"/>
      <c r="E43" s="3"/>
    </row>
    <row r="44" spans="1:5">
      <c r="A44" s="59" t="s">
        <v>31</v>
      </c>
      <c r="B44" s="60" t="s">
        <v>32</v>
      </c>
      <c r="C44" s="61">
        <f>(C37+B5)/C43</f>
        <v>6262.64416666667</v>
      </c>
      <c r="D44" s="58"/>
      <c r="E44" s="3"/>
    </row>
    <row r="45" spans="1:5">
      <c r="A45" s="59" t="s">
        <v>33</v>
      </c>
      <c r="B45" s="60" t="s">
        <v>34</v>
      </c>
      <c r="C45" s="61">
        <f>(B5+C37-D37)/C43</f>
        <v>6262.64416666667</v>
      </c>
      <c r="D45" s="58"/>
      <c r="E45" s="3"/>
    </row>
    <row r="46" ht="15" spans="1:8">
      <c r="A46" s="59" t="s">
        <v>23</v>
      </c>
      <c r="B46" s="60" t="s">
        <v>35</v>
      </c>
      <c r="C46" s="61">
        <f>H37/C43</f>
        <v>6191.16666666667</v>
      </c>
      <c r="D46" s="62" t="s">
        <v>36</v>
      </c>
      <c r="E46" s="62"/>
      <c r="F46" s="63"/>
      <c r="G46" s="64"/>
      <c r="H46" s="3" t="s">
        <v>37</v>
      </c>
    </row>
    <row r="47" ht="17.25" spans="1:6">
      <c r="A47" s="59" t="s">
        <v>25</v>
      </c>
      <c r="B47" s="60" t="s">
        <v>38</v>
      </c>
      <c r="C47" s="61">
        <f>(K37)/C43</f>
        <v>6231.66666666667</v>
      </c>
      <c r="D47" s="65" t="s">
        <v>39</v>
      </c>
      <c r="E47" s="66">
        <f>(C45-C47)</f>
        <v>30.9774999999991</v>
      </c>
      <c r="F47" s="67"/>
    </row>
    <row r="48" ht="17.25" spans="1:5">
      <c r="A48" s="59" t="s">
        <v>24</v>
      </c>
      <c r="B48" s="68" t="s">
        <v>40</v>
      </c>
      <c r="C48" s="69">
        <f>(I37/H37)</f>
        <v>0.00654157805475543</v>
      </c>
      <c r="D48" s="70" t="s">
        <v>39</v>
      </c>
      <c r="E48" s="71">
        <f>E47/C45</f>
        <v>0.00494639311696469</v>
      </c>
    </row>
    <row r="49" spans="4:5">
      <c r="D49" s="58"/>
      <c r="E49" s="3"/>
    </row>
  </sheetData>
  <mergeCells count="12">
    <mergeCell ref="A1:O1"/>
    <mergeCell ref="F3:I3"/>
    <mergeCell ref="A3:A4"/>
    <mergeCell ref="B3:B4"/>
    <mergeCell ref="C3:C4"/>
    <mergeCell ref="D3:D4"/>
    <mergeCell ref="E3:E4"/>
    <mergeCell ref="K3:K4"/>
    <mergeCell ref="L3:L4"/>
    <mergeCell ref="M3:M4"/>
    <mergeCell ref="N3:N4"/>
    <mergeCell ref="O3:O5"/>
  </mergeCells>
  <printOptions horizontalCentered="1" verticalCentered="1"/>
  <pageMargins left="0.393055555555556" right="0.393055555555556" top="0.393055555555556" bottom="0.393055555555556" header="0.298611111111111" footer="0.298611111111111"/>
  <pageSetup paperSize="9" scale="65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8"/>
  <sheetViews>
    <sheetView workbookViewId="0">
      <selection activeCell="A2" sqref="A2"/>
    </sheetView>
  </sheetViews>
  <sheetFormatPr defaultColWidth="10.4416666666667" defaultRowHeight="14.25"/>
  <cols>
    <col min="1" max="1" width="10.4416666666667" style="2"/>
    <col min="2" max="2" width="13.6666666666667" style="2" customWidth="1"/>
    <col min="3" max="3" width="12.625" style="2" customWidth="1"/>
    <col min="4" max="4" width="10.4416666666667" style="4"/>
    <col min="5" max="8" width="10.4416666666667" style="2"/>
    <col min="9" max="9" width="14" style="2" customWidth="1"/>
    <col min="10" max="10" width="14.4416666666667" style="2" customWidth="1"/>
    <col min="11" max="11" width="14.1083333333333" style="2" customWidth="1"/>
    <col min="12" max="12" width="12.4416666666667" style="2" customWidth="1"/>
    <col min="13" max="13" width="11.4416666666667" style="2" customWidth="1"/>
    <col min="14" max="14" width="13.5583333333333" style="5" customWidth="1"/>
    <col min="15" max="15" width="10.4416666666667" style="6"/>
    <col min="16" max="16384" width="10.4416666666667" style="2"/>
  </cols>
  <sheetData>
    <row r="1" ht="30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0.25" spans="1:12">
      <c r="A2" s="233" t="s">
        <v>1</v>
      </c>
      <c r="L2" s="2" t="s">
        <v>2</v>
      </c>
    </row>
    <row r="3" spans="1:15">
      <c r="A3" s="9" t="s">
        <v>3</v>
      </c>
      <c r="B3" s="282" t="s">
        <v>4</v>
      </c>
      <c r="C3" s="283" t="s">
        <v>5</v>
      </c>
      <c r="D3" s="9" t="s">
        <v>6</v>
      </c>
      <c r="E3" s="9" t="s">
        <v>7</v>
      </c>
      <c r="F3" s="22" t="s">
        <v>8</v>
      </c>
      <c r="G3" s="284"/>
      <c r="H3" s="284"/>
      <c r="I3" s="284"/>
      <c r="J3" s="317"/>
      <c r="K3" s="318" t="s">
        <v>9</v>
      </c>
      <c r="L3" s="9" t="s">
        <v>10</v>
      </c>
      <c r="M3" s="9" t="s">
        <v>11</v>
      </c>
      <c r="N3" s="75" t="s">
        <v>12</v>
      </c>
      <c r="O3" s="76" t="s">
        <v>13</v>
      </c>
    </row>
    <row r="4" ht="15" spans="1:15">
      <c r="A4" s="14"/>
      <c r="B4" s="285"/>
      <c r="C4" s="286"/>
      <c r="D4" s="14"/>
      <c r="E4" s="14"/>
      <c r="F4" s="451" t="s">
        <v>14</v>
      </c>
      <c r="G4" s="288" t="s">
        <v>15</v>
      </c>
      <c r="H4" s="288" t="s">
        <v>16</v>
      </c>
      <c r="I4" s="320" t="s">
        <v>17</v>
      </c>
      <c r="J4" s="321" t="s">
        <v>18</v>
      </c>
      <c r="K4" s="322"/>
      <c r="L4" s="14"/>
      <c r="M4" s="14"/>
      <c r="N4" s="81"/>
      <c r="O4" s="82"/>
    </row>
    <row r="5" ht="15" spans="1:15">
      <c r="A5" s="19" t="s">
        <v>19</v>
      </c>
      <c r="B5" s="452"/>
      <c r="C5" s="290"/>
      <c r="D5" s="22"/>
      <c r="E5" s="22"/>
      <c r="F5" s="291"/>
      <c r="G5" s="292"/>
      <c r="H5" s="292"/>
      <c r="I5" s="324"/>
      <c r="J5" s="317"/>
      <c r="K5" s="417"/>
      <c r="L5" s="326">
        <f>SUM(V4)</f>
        <v>0</v>
      </c>
      <c r="M5" s="86"/>
      <c r="N5" s="454"/>
      <c r="O5" s="88"/>
    </row>
    <row r="6" ht="16.5" spans="1:15">
      <c r="A6" s="25">
        <v>45261</v>
      </c>
      <c r="B6" s="293">
        <f>B5</f>
        <v>0</v>
      </c>
      <c r="C6" s="135"/>
      <c r="D6" s="142"/>
      <c r="E6" s="142"/>
      <c r="F6" s="407"/>
      <c r="G6" s="408"/>
      <c r="H6" s="304"/>
      <c r="I6" s="339"/>
      <c r="J6" s="418"/>
      <c r="K6" s="419">
        <f>SUM(H6+I6)</f>
        <v>0</v>
      </c>
      <c r="L6" s="332">
        <f>B6+C6-D6-E6-K6</f>
        <v>0</v>
      </c>
      <c r="M6" s="93"/>
      <c r="N6" s="455"/>
      <c r="O6" s="95"/>
    </row>
    <row r="7" ht="16.5" spans="1:15">
      <c r="A7" s="25">
        <v>45262</v>
      </c>
      <c r="B7" s="293">
        <f>SUM(L6)</f>
        <v>0</v>
      </c>
      <c r="C7" s="135"/>
      <c r="D7" s="145"/>
      <c r="E7" s="145"/>
      <c r="F7" s="407"/>
      <c r="G7" s="408"/>
      <c r="H7" s="304"/>
      <c r="I7" s="339"/>
      <c r="J7" s="418"/>
      <c r="K7" s="419">
        <f t="shared" ref="K7:K36" si="0">SUM(H7+I7)</f>
        <v>0</v>
      </c>
      <c r="L7" s="332">
        <f t="shared" ref="L7:L36" si="1">B7+C7-D7-E7-K7</f>
        <v>0</v>
      </c>
      <c r="M7" s="93"/>
      <c r="N7" s="456"/>
      <c r="O7" s="97"/>
    </row>
    <row r="8" ht="16.5" spans="1:15">
      <c r="A8" s="25">
        <v>45263</v>
      </c>
      <c r="B8" s="293">
        <f t="shared" ref="B8:B36" si="2">SUM(L7)</f>
        <v>0</v>
      </c>
      <c r="C8" s="135"/>
      <c r="D8" s="145"/>
      <c r="E8" s="145"/>
      <c r="F8" s="407"/>
      <c r="G8" s="408"/>
      <c r="H8" s="304"/>
      <c r="I8" s="339"/>
      <c r="J8" s="418"/>
      <c r="K8" s="419">
        <f t="shared" si="0"/>
        <v>0</v>
      </c>
      <c r="L8" s="332">
        <f t="shared" si="1"/>
        <v>0</v>
      </c>
      <c r="M8" s="93"/>
      <c r="N8" s="456"/>
      <c r="O8" s="98"/>
    </row>
    <row r="9" ht="16.5" spans="1:15">
      <c r="A9" s="25">
        <v>45264</v>
      </c>
      <c r="B9" s="293">
        <f t="shared" si="2"/>
        <v>0</v>
      </c>
      <c r="C9" s="135"/>
      <c r="D9" s="33"/>
      <c r="E9" s="33"/>
      <c r="F9" s="407"/>
      <c r="G9" s="408"/>
      <c r="H9" s="304"/>
      <c r="I9" s="339"/>
      <c r="J9" s="418"/>
      <c r="K9" s="419">
        <f t="shared" si="0"/>
        <v>0</v>
      </c>
      <c r="L9" s="332">
        <f t="shared" si="1"/>
        <v>0</v>
      </c>
      <c r="M9" s="93"/>
      <c r="N9" s="456"/>
      <c r="O9" s="98"/>
    </row>
    <row r="10" ht="16.5" spans="1:16">
      <c r="A10" s="25">
        <v>45265</v>
      </c>
      <c r="B10" s="293">
        <f t="shared" si="2"/>
        <v>0</v>
      </c>
      <c r="C10" s="135"/>
      <c r="D10" s="33"/>
      <c r="E10" s="33"/>
      <c r="F10" s="303"/>
      <c r="G10" s="304"/>
      <c r="H10" s="304"/>
      <c r="I10" s="338"/>
      <c r="J10" s="418"/>
      <c r="K10" s="419">
        <f t="shared" si="0"/>
        <v>0</v>
      </c>
      <c r="L10" s="332">
        <f t="shared" si="1"/>
        <v>0</v>
      </c>
      <c r="M10" s="93"/>
      <c r="N10" s="456"/>
      <c r="O10" s="98"/>
      <c r="P10" s="100"/>
    </row>
    <row r="11" ht="16.5" spans="1:15">
      <c r="A11" s="25">
        <v>45266</v>
      </c>
      <c r="B11" s="293">
        <f t="shared" si="2"/>
        <v>0</v>
      </c>
      <c r="C11" s="135"/>
      <c r="D11" s="119"/>
      <c r="E11" s="33"/>
      <c r="F11" s="303"/>
      <c r="G11" s="304"/>
      <c r="H11" s="304"/>
      <c r="I11" s="338"/>
      <c r="J11" s="418"/>
      <c r="K11" s="419">
        <f t="shared" si="0"/>
        <v>0</v>
      </c>
      <c r="L11" s="332">
        <f t="shared" si="1"/>
        <v>0</v>
      </c>
      <c r="M11" s="93"/>
      <c r="N11" s="456"/>
      <c r="O11" s="98"/>
    </row>
    <row r="12" ht="16.5" spans="1:15">
      <c r="A12" s="25">
        <v>45267</v>
      </c>
      <c r="B12" s="293">
        <f t="shared" si="2"/>
        <v>0</v>
      </c>
      <c r="C12" s="135"/>
      <c r="D12" s="33"/>
      <c r="E12" s="33"/>
      <c r="F12" s="303"/>
      <c r="G12" s="304"/>
      <c r="H12" s="304"/>
      <c r="I12" s="338"/>
      <c r="J12" s="418"/>
      <c r="K12" s="419">
        <f t="shared" si="0"/>
        <v>0</v>
      </c>
      <c r="L12" s="332">
        <f t="shared" si="1"/>
        <v>0</v>
      </c>
      <c r="M12" s="93"/>
      <c r="N12" s="456"/>
      <c r="O12" s="98"/>
    </row>
    <row r="13" ht="16.5" spans="1:15">
      <c r="A13" s="25">
        <v>45268</v>
      </c>
      <c r="B13" s="293">
        <f t="shared" si="2"/>
        <v>0</v>
      </c>
      <c r="C13" s="135"/>
      <c r="D13" s="33"/>
      <c r="E13" s="33"/>
      <c r="F13" s="303"/>
      <c r="G13" s="304"/>
      <c r="H13" s="304"/>
      <c r="I13" s="338"/>
      <c r="J13" s="418"/>
      <c r="K13" s="419">
        <f t="shared" si="0"/>
        <v>0</v>
      </c>
      <c r="L13" s="332">
        <f t="shared" si="1"/>
        <v>0</v>
      </c>
      <c r="M13" s="93"/>
      <c r="N13" s="456"/>
      <c r="O13" s="98"/>
    </row>
    <row r="14" ht="16.5" spans="1:15">
      <c r="A14" s="25">
        <v>45269</v>
      </c>
      <c r="B14" s="293">
        <f t="shared" si="2"/>
        <v>0</v>
      </c>
      <c r="C14" s="135"/>
      <c r="D14" s="33"/>
      <c r="E14" s="33"/>
      <c r="F14" s="303"/>
      <c r="G14" s="304"/>
      <c r="H14" s="304"/>
      <c r="I14" s="338"/>
      <c r="J14" s="418"/>
      <c r="K14" s="419">
        <f t="shared" si="0"/>
        <v>0</v>
      </c>
      <c r="L14" s="332">
        <f t="shared" si="1"/>
        <v>0</v>
      </c>
      <c r="M14" s="93"/>
      <c r="N14" s="456"/>
      <c r="O14" s="98"/>
    </row>
    <row r="15" ht="16.5" spans="1:15">
      <c r="A15" s="25">
        <v>45270</v>
      </c>
      <c r="B15" s="293">
        <f t="shared" si="2"/>
        <v>0</v>
      </c>
      <c r="C15" s="135"/>
      <c r="D15" s="33"/>
      <c r="E15" s="33"/>
      <c r="F15" s="303"/>
      <c r="G15" s="304"/>
      <c r="H15" s="304"/>
      <c r="I15" s="338"/>
      <c r="J15" s="418"/>
      <c r="K15" s="419">
        <f t="shared" si="0"/>
        <v>0</v>
      </c>
      <c r="L15" s="332">
        <f t="shared" si="1"/>
        <v>0</v>
      </c>
      <c r="M15" s="93"/>
      <c r="N15" s="456"/>
      <c r="O15" s="98"/>
    </row>
    <row r="16" ht="16.5" spans="1:15">
      <c r="A16" s="25">
        <v>45271</v>
      </c>
      <c r="B16" s="293">
        <f t="shared" si="2"/>
        <v>0</v>
      </c>
      <c r="C16" s="135"/>
      <c r="D16" s="33"/>
      <c r="E16" s="33"/>
      <c r="F16" s="303"/>
      <c r="G16" s="304"/>
      <c r="H16" s="304"/>
      <c r="I16" s="338"/>
      <c r="J16" s="418"/>
      <c r="K16" s="419">
        <f t="shared" si="0"/>
        <v>0</v>
      </c>
      <c r="L16" s="332">
        <f t="shared" si="1"/>
        <v>0</v>
      </c>
      <c r="M16" s="93"/>
      <c r="N16" s="456"/>
      <c r="O16" s="98"/>
    </row>
    <row r="17" ht="16.5" spans="1:15">
      <c r="A17" s="25">
        <v>45272</v>
      </c>
      <c r="B17" s="293">
        <f t="shared" si="2"/>
        <v>0</v>
      </c>
      <c r="C17" s="135"/>
      <c r="D17" s="33"/>
      <c r="E17" s="33"/>
      <c r="F17" s="303"/>
      <c r="G17" s="304"/>
      <c r="H17" s="304"/>
      <c r="I17" s="338"/>
      <c r="J17" s="418"/>
      <c r="K17" s="419">
        <f t="shared" si="0"/>
        <v>0</v>
      </c>
      <c r="L17" s="332">
        <f t="shared" si="1"/>
        <v>0</v>
      </c>
      <c r="M17" s="93"/>
      <c r="N17" s="456"/>
      <c r="O17" s="98"/>
    </row>
    <row r="18" ht="16.5" spans="1:16">
      <c r="A18" s="25">
        <v>45273</v>
      </c>
      <c r="B18" s="293">
        <f t="shared" si="2"/>
        <v>0</v>
      </c>
      <c r="C18" s="135"/>
      <c r="D18" s="33"/>
      <c r="E18" s="33"/>
      <c r="F18" s="303"/>
      <c r="G18" s="304"/>
      <c r="H18" s="304"/>
      <c r="I18" s="338"/>
      <c r="J18" s="418"/>
      <c r="K18" s="419">
        <f t="shared" si="0"/>
        <v>0</v>
      </c>
      <c r="L18" s="332">
        <f t="shared" si="1"/>
        <v>0</v>
      </c>
      <c r="M18" s="93"/>
      <c r="N18" s="456"/>
      <c r="O18" s="98"/>
      <c r="P18" s="100"/>
    </row>
    <row r="19" ht="16.5" spans="1:15">
      <c r="A19" s="25">
        <v>45274</v>
      </c>
      <c r="B19" s="293">
        <f t="shared" si="2"/>
        <v>0</v>
      </c>
      <c r="C19" s="135"/>
      <c r="D19" s="33"/>
      <c r="E19" s="33"/>
      <c r="F19" s="303"/>
      <c r="G19" s="304"/>
      <c r="H19" s="304"/>
      <c r="I19" s="338"/>
      <c r="J19" s="418"/>
      <c r="K19" s="419">
        <f t="shared" si="0"/>
        <v>0</v>
      </c>
      <c r="L19" s="332">
        <f t="shared" si="1"/>
        <v>0</v>
      </c>
      <c r="M19" s="93"/>
      <c r="N19" s="456"/>
      <c r="O19" s="98"/>
    </row>
    <row r="20" ht="16.5" spans="1:15">
      <c r="A20" s="25">
        <v>45275</v>
      </c>
      <c r="B20" s="293">
        <f t="shared" si="2"/>
        <v>0</v>
      </c>
      <c r="C20" s="135"/>
      <c r="D20" s="33"/>
      <c r="E20" s="33"/>
      <c r="F20" s="303"/>
      <c r="G20" s="304"/>
      <c r="H20" s="304"/>
      <c r="I20" s="338"/>
      <c r="J20" s="418"/>
      <c r="K20" s="419">
        <f t="shared" si="0"/>
        <v>0</v>
      </c>
      <c r="L20" s="332">
        <f t="shared" si="1"/>
        <v>0</v>
      </c>
      <c r="M20" s="93"/>
      <c r="N20" s="456"/>
      <c r="O20" s="98"/>
    </row>
    <row r="21" ht="16.5" spans="1:15">
      <c r="A21" s="25">
        <v>45276</v>
      </c>
      <c r="B21" s="293">
        <f t="shared" si="2"/>
        <v>0</v>
      </c>
      <c r="C21" s="135"/>
      <c r="D21" s="33"/>
      <c r="E21" s="33"/>
      <c r="F21" s="303"/>
      <c r="G21" s="304"/>
      <c r="H21" s="304"/>
      <c r="I21" s="338"/>
      <c r="J21" s="418"/>
      <c r="K21" s="419">
        <f t="shared" si="0"/>
        <v>0</v>
      </c>
      <c r="L21" s="332">
        <f t="shared" si="1"/>
        <v>0</v>
      </c>
      <c r="M21" s="93"/>
      <c r="N21" s="456"/>
      <c r="O21" s="98"/>
    </row>
    <row r="22" ht="16.5" spans="1:15">
      <c r="A22" s="25">
        <v>45277</v>
      </c>
      <c r="B22" s="293">
        <f t="shared" si="2"/>
        <v>0</v>
      </c>
      <c r="C22" s="135"/>
      <c r="D22" s="33"/>
      <c r="E22" s="36"/>
      <c r="F22" s="303"/>
      <c r="G22" s="304"/>
      <c r="H22" s="304"/>
      <c r="I22" s="338"/>
      <c r="J22" s="418"/>
      <c r="K22" s="419">
        <f t="shared" si="0"/>
        <v>0</v>
      </c>
      <c r="L22" s="332">
        <f t="shared" si="1"/>
        <v>0</v>
      </c>
      <c r="M22" s="93"/>
      <c r="N22" s="456"/>
      <c r="O22" s="98"/>
    </row>
    <row r="23" ht="16.5" spans="1:15">
      <c r="A23" s="25">
        <v>45278</v>
      </c>
      <c r="B23" s="293">
        <f t="shared" si="2"/>
        <v>0</v>
      </c>
      <c r="C23" s="135"/>
      <c r="D23" s="33"/>
      <c r="E23" s="33"/>
      <c r="F23" s="303"/>
      <c r="G23" s="304"/>
      <c r="H23" s="304"/>
      <c r="I23" s="338"/>
      <c r="J23" s="418"/>
      <c r="K23" s="419">
        <f t="shared" si="0"/>
        <v>0</v>
      </c>
      <c r="L23" s="332">
        <f t="shared" si="1"/>
        <v>0</v>
      </c>
      <c r="M23" s="93"/>
      <c r="N23" s="457"/>
      <c r="O23" s="98"/>
    </row>
    <row r="24" ht="16.5" spans="1:15">
      <c r="A24" s="25">
        <v>45279</v>
      </c>
      <c r="B24" s="293">
        <f t="shared" si="2"/>
        <v>0</v>
      </c>
      <c r="C24" s="135"/>
      <c r="D24" s="33"/>
      <c r="E24" s="36"/>
      <c r="F24" s="303"/>
      <c r="G24" s="304"/>
      <c r="H24" s="304"/>
      <c r="I24" s="338"/>
      <c r="J24" s="418"/>
      <c r="K24" s="419">
        <f t="shared" si="0"/>
        <v>0</v>
      </c>
      <c r="L24" s="332">
        <f t="shared" si="1"/>
        <v>0</v>
      </c>
      <c r="M24" s="93"/>
      <c r="N24" s="456"/>
      <c r="O24" s="98"/>
    </row>
    <row r="25" ht="16.5" spans="1:15">
      <c r="A25" s="25">
        <v>45280</v>
      </c>
      <c r="B25" s="293">
        <f t="shared" si="2"/>
        <v>0</v>
      </c>
      <c r="C25" s="135"/>
      <c r="D25" s="33"/>
      <c r="E25" s="36"/>
      <c r="F25" s="303"/>
      <c r="G25" s="304"/>
      <c r="H25" s="304"/>
      <c r="I25" s="338"/>
      <c r="J25" s="418"/>
      <c r="K25" s="419">
        <f t="shared" si="0"/>
        <v>0</v>
      </c>
      <c r="L25" s="332">
        <f t="shared" si="1"/>
        <v>0</v>
      </c>
      <c r="M25" s="93"/>
      <c r="N25" s="456"/>
      <c r="O25" s="98"/>
    </row>
    <row r="26" ht="16.5" spans="1:15">
      <c r="A26" s="25">
        <v>45281</v>
      </c>
      <c r="B26" s="293">
        <f t="shared" si="2"/>
        <v>0</v>
      </c>
      <c r="C26" s="135"/>
      <c r="D26" s="33"/>
      <c r="E26" s="36"/>
      <c r="F26" s="303"/>
      <c r="G26" s="304"/>
      <c r="H26" s="304"/>
      <c r="I26" s="338"/>
      <c r="J26" s="418"/>
      <c r="K26" s="419">
        <f t="shared" si="0"/>
        <v>0</v>
      </c>
      <c r="L26" s="332">
        <f t="shared" si="1"/>
        <v>0</v>
      </c>
      <c r="M26" s="93"/>
      <c r="N26" s="456"/>
      <c r="O26" s="98"/>
    </row>
    <row r="27" ht="16.5" spans="1:16">
      <c r="A27" s="25">
        <v>45282</v>
      </c>
      <c r="B27" s="293">
        <f t="shared" si="2"/>
        <v>0</v>
      </c>
      <c r="C27" s="135"/>
      <c r="D27" s="33"/>
      <c r="E27" s="36"/>
      <c r="F27" s="303"/>
      <c r="G27" s="304"/>
      <c r="H27" s="304"/>
      <c r="I27" s="338"/>
      <c r="J27" s="418"/>
      <c r="K27" s="419">
        <f t="shared" si="0"/>
        <v>0</v>
      </c>
      <c r="L27" s="332">
        <f t="shared" si="1"/>
        <v>0</v>
      </c>
      <c r="M27" s="93"/>
      <c r="N27" s="456"/>
      <c r="O27" s="98"/>
      <c r="P27" s="100"/>
    </row>
    <row r="28" ht="16.5" spans="1:15">
      <c r="A28" s="25">
        <v>45283</v>
      </c>
      <c r="B28" s="293">
        <f t="shared" si="2"/>
        <v>0</v>
      </c>
      <c r="C28" s="135"/>
      <c r="D28" s="33"/>
      <c r="E28" s="36"/>
      <c r="F28" s="303"/>
      <c r="G28" s="304"/>
      <c r="H28" s="304"/>
      <c r="I28" s="339"/>
      <c r="J28" s="418"/>
      <c r="K28" s="419">
        <f t="shared" si="0"/>
        <v>0</v>
      </c>
      <c r="L28" s="332">
        <f t="shared" si="1"/>
        <v>0</v>
      </c>
      <c r="M28" s="93"/>
      <c r="N28" s="456"/>
      <c r="O28" s="98"/>
    </row>
    <row r="29" ht="16.5" spans="1:15">
      <c r="A29" s="25">
        <v>45284</v>
      </c>
      <c r="B29" s="293">
        <f t="shared" si="2"/>
        <v>0</v>
      </c>
      <c r="C29" s="135"/>
      <c r="D29" s="33"/>
      <c r="E29" s="36"/>
      <c r="F29" s="303"/>
      <c r="G29" s="304"/>
      <c r="H29" s="304"/>
      <c r="I29" s="338"/>
      <c r="J29" s="418"/>
      <c r="K29" s="419">
        <f t="shared" si="0"/>
        <v>0</v>
      </c>
      <c r="L29" s="332">
        <f t="shared" si="1"/>
        <v>0</v>
      </c>
      <c r="M29" s="93"/>
      <c r="N29" s="456"/>
      <c r="O29" s="98"/>
    </row>
    <row r="30" ht="16.5" spans="1:15">
      <c r="A30" s="25">
        <v>45285</v>
      </c>
      <c r="B30" s="293">
        <f t="shared" si="2"/>
        <v>0</v>
      </c>
      <c r="C30" s="135"/>
      <c r="D30" s="33"/>
      <c r="E30" s="36"/>
      <c r="F30" s="303"/>
      <c r="G30" s="304"/>
      <c r="H30" s="304"/>
      <c r="I30" s="338"/>
      <c r="J30" s="418"/>
      <c r="K30" s="419">
        <f t="shared" si="0"/>
        <v>0</v>
      </c>
      <c r="L30" s="332">
        <f t="shared" si="1"/>
        <v>0</v>
      </c>
      <c r="M30" s="93"/>
      <c r="N30" s="456"/>
      <c r="O30" s="98"/>
    </row>
    <row r="31" ht="16.5" spans="1:15">
      <c r="A31" s="25">
        <v>45286</v>
      </c>
      <c r="B31" s="293">
        <f t="shared" si="2"/>
        <v>0</v>
      </c>
      <c r="C31" s="414"/>
      <c r="D31" s="33"/>
      <c r="E31" s="36"/>
      <c r="F31" s="303"/>
      <c r="G31" s="304"/>
      <c r="H31" s="304"/>
      <c r="I31" s="338"/>
      <c r="J31" s="418"/>
      <c r="K31" s="419">
        <f t="shared" si="0"/>
        <v>0</v>
      </c>
      <c r="L31" s="332">
        <f t="shared" si="1"/>
        <v>0</v>
      </c>
      <c r="M31" s="93"/>
      <c r="N31" s="456"/>
      <c r="O31" s="98"/>
    </row>
    <row r="32" ht="16.5" spans="1:15">
      <c r="A32" s="25">
        <v>45287</v>
      </c>
      <c r="B32" s="293">
        <f t="shared" si="2"/>
        <v>0</v>
      </c>
      <c r="C32" s="413"/>
      <c r="D32" s="33"/>
      <c r="E32" s="36"/>
      <c r="F32" s="303"/>
      <c r="G32" s="304"/>
      <c r="H32" s="304"/>
      <c r="I32" s="338"/>
      <c r="J32" s="418"/>
      <c r="K32" s="419">
        <f t="shared" si="0"/>
        <v>0</v>
      </c>
      <c r="L32" s="332">
        <f t="shared" si="1"/>
        <v>0</v>
      </c>
      <c r="M32" s="93"/>
      <c r="N32" s="456"/>
      <c r="O32" s="98"/>
    </row>
    <row r="33" ht="16.5" spans="1:16">
      <c r="A33" s="25">
        <v>45288</v>
      </c>
      <c r="B33" s="293">
        <f t="shared" si="2"/>
        <v>0</v>
      </c>
      <c r="C33" s="413"/>
      <c r="D33" s="33"/>
      <c r="E33" s="36"/>
      <c r="F33" s="303"/>
      <c r="G33" s="304"/>
      <c r="H33" s="304"/>
      <c r="I33" s="338"/>
      <c r="J33" s="418"/>
      <c r="K33" s="419">
        <f t="shared" si="0"/>
        <v>0</v>
      </c>
      <c r="L33" s="332">
        <f t="shared" si="1"/>
        <v>0</v>
      </c>
      <c r="M33" s="93"/>
      <c r="N33" s="456"/>
      <c r="O33" s="98"/>
      <c r="P33" s="100"/>
    </row>
    <row r="34" s="1" customFormat="1" ht="16.5" spans="1:15">
      <c r="A34" s="25">
        <v>45289</v>
      </c>
      <c r="B34" s="293">
        <f t="shared" si="2"/>
        <v>0</v>
      </c>
      <c r="C34" s="413"/>
      <c r="D34" s="33"/>
      <c r="E34" s="36"/>
      <c r="F34" s="303"/>
      <c r="G34" s="304"/>
      <c r="H34" s="304"/>
      <c r="I34" s="338"/>
      <c r="J34" s="418"/>
      <c r="K34" s="419">
        <f t="shared" si="0"/>
        <v>0</v>
      </c>
      <c r="L34" s="332">
        <f t="shared" si="1"/>
        <v>0</v>
      </c>
      <c r="M34" s="93"/>
      <c r="N34" s="456"/>
      <c r="O34" s="102"/>
    </row>
    <row r="35" ht="16.5" spans="1:15">
      <c r="A35" s="25">
        <v>45290</v>
      </c>
      <c r="B35" s="293">
        <f t="shared" si="2"/>
        <v>0</v>
      </c>
      <c r="C35" s="413"/>
      <c r="D35" s="33"/>
      <c r="E35" s="33"/>
      <c r="F35" s="303"/>
      <c r="G35" s="304"/>
      <c r="H35" s="304"/>
      <c r="I35" s="339"/>
      <c r="J35" s="418"/>
      <c r="K35" s="419">
        <f t="shared" si="0"/>
        <v>0</v>
      </c>
      <c r="L35" s="332">
        <f t="shared" si="1"/>
        <v>0</v>
      </c>
      <c r="M35" s="93"/>
      <c r="N35" s="456"/>
      <c r="O35" s="98"/>
    </row>
    <row r="36" ht="18" customHeight="1" spans="1:15">
      <c r="A36" s="25">
        <v>45291</v>
      </c>
      <c r="B36" s="293">
        <f t="shared" si="2"/>
        <v>0</v>
      </c>
      <c r="C36" s="453"/>
      <c r="D36" s="142"/>
      <c r="E36" s="142"/>
      <c r="F36" s="407"/>
      <c r="G36" s="408"/>
      <c r="H36" s="304"/>
      <c r="I36" s="339"/>
      <c r="J36" s="450"/>
      <c r="K36" s="419">
        <f t="shared" si="0"/>
        <v>0</v>
      </c>
      <c r="L36" s="332">
        <f t="shared" si="1"/>
        <v>0</v>
      </c>
      <c r="M36" s="104"/>
      <c r="N36" s="456"/>
      <c r="O36" s="105"/>
    </row>
    <row r="37" ht="15" spans="1:15">
      <c r="A37" s="43"/>
      <c r="B37" s="310"/>
      <c r="C37" s="311">
        <f t="shared" ref="C37:K37" si="3">SUM(C5:C36)</f>
        <v>0</v>
      </c>
      <c r="D37" s="46">
        <f t="shared" si="3"/>
        <v>0</v>
      </c>
      <c r="E37" s="47">
        <f t="shared" si="3"/>
        <v>0</v>
      </c>
      <c r="F37" s="312">
        <f t="shared" si="3"/>
        <v>0</v>
      </c>
      <c r="G37" s="313">
        <f t="shared" si="3"/>
        <v>0</v>
      </c>
      <c r="H37" s="314">
        <f t="shared" si="3"/>
        <v>0</v>
      </c>
      <c r="I37" s="313">
        <f t="shared" si="3"/>
        <v>0</v>
      </c>
      <c r="J37" s="313"/>
      <c r="K37" s="428">
        <f t="shared" si="3"/>
        <v>0</v>
      </c>
      <c r="L37" s="429">
        <f>SUM(B5+C37-D37-E37-K37)</f>
        <v>0</v>
      </c>
      <c r="M37" s="458"/>
      <c r="N37" s="459"/>
      <c r="O37" s="109"/>
    </row>
    <row r="39" ht="17.25" spans="1:13">
      <c r="A39" s="50" t="s">
        <v>20</v>
      </c>
      <c r="B39" s="51"/>
      <c r="C39" s="52" t="s">
        <v>21</v>
      </c>
      <c r="D39" s="53" t="s">
        <v>22</v>
      </c>
      <c r="E39" s="3"/>
      <c r="F39" s="3"/>
      <c r="G39" s="3"/>
      <c r="H39" s="50" t="s">
        <v>23</v>
      </c>
      <c r="I39" s="59" t="s">
        <v>24</v>
      </c>
      <c r="J39" s="3"/>
      <c r="K39" s="50" t="s">
        <v>25</v>
      </c>
      <c r="L39" s="3"/>
      <c r="M39" s="3"/>
    </row>
    <row r="40" ht="17.25" spans="1:13">
      <c r="A40" s="50"/>
      <c r="B40" s="51"/>
      <c r="C40" s="52"/>
      <c r="D40" s="53"/>
      <c r="E40" s="3"/>
      <c r="F40" s="3"/>
      <c r="G40" s="3"/>
      <c r="H40" s="50"/>
      <c r="I40" s="59"/>
      <c r="J40" s="3"/>
      <c r="K40" s="110" t="s">
        <v>26</v>
      </c>
      <c r="L40" s="111">
        <f>L37</f>
        <v>0</v>
      </c>
      <c r="M40" s="112" t="s">
        <v>27</v>
      </c>
    </row>
    <row r="41" ht="16.5" spans="1:13">
      <c r="A41" s="50"/>
      <c r="B41" s="51"/>
      <c r="C41" s="52"/>
      <c r="D41" s="53"/>
      <c r="E41" s="3"/>
      <c r="F41" s="3"/>
      <c r="G41" s="3"/>
      <c r="H41" s="50"/>
      <c r="I41" s="59"/>
      <c r="J41" s="3"/>
      <c r="K41" s="50"/>
      <c r="L41" s="3"/>
      <c r="M41" s="3"/>
    </row>
    <row r="42" ht="15" spans="9:13">
      <c r="I42" s="430"/>
      <c r="J42" s="430"/>
      <c r="K42" s="113" t="s">
        <v>28</v>
      </c>
      <c r="L42" s="115"/>
      <c r="M42" s="349"/>
    </row>
    <row r="43" spans="1:9">
      <c r="A43" s="55" t="s">
        <v>29</v>
      </c>
      <c r="B43" s="56" t="s">
        <v>30</v>
      </c>
      <c r="C43" s="57"/>
      <c r="D43" s="58"/>
      <c r="E43" s="3"/>
      <c r="F43" s="3"/>
      <c r="G43" s="3"/>
      <c r="H43" s="3"/>
      <c r="I43" s="3"/>
    </row>
    <row r="44" spans="1:9">
      <c r="A44" s="59" t="s">
        <v>31</v>
      </c>
      <c r="B44" s="60" t="s">
        <v>32</v>
      </c>
      <c r="C44" s="61" t="e">
        <f>(C37+B5)/C43</f>
        <v>#DIV/0!</v>
      </c>
      <c r="D44" s="58"/>
      <c r="E44" s="3"/>
      <c r="F44" s="3"/>
      <c r="G44" s="3"/>
      <c r="H44" s="3"/>
      <c r="I44" s="3"/>
    </row>
    <row r="45" spans="1:9">
      <c r="A45" s="59" t="s">
        <v>33</v>
      </c>
      <c r="B45" s="60" t="s">
        <v>34</v>
      </c>
      <c r="C45" s="61" t="e">
        <f>(B5+C37-D37)/C43</f>
        <v>#DIV/0!</v>
      </c>
      <c r="D45" s="58"/>
      <c r="E45" s="3"/>
      <c r="F45" s="3"/>
      <c r="G45" s="3"/>
      <c r="H45" s="3"/>
      <c r="I45" s="3"/>
    </row>
    <row r="46" ht="15" spans="1:9">
      <c r="A46" s="59" t="s">
        <v>23</v>
      </c>
      <c r="B46" s="60" t="s">
        <v>35</v>
      </c>
      <c r="C46" s="61" t="e">
        <f>H37/C43</f>
        <v>#DIV/0!</v>
      </c>
      <c r="D46" s="62" t="s">
        <v>36</v>
      </c>
      <c r="E46" s="62"/>
      <c r="F46" s="63"/>
      <c r="G46" s="64"/>
      <c r="H46" s="3" t="s">
        <v>37</v>
      </c>
      <c r="I46" s="3"/>
    </row>
    <row r="47" ht="17.25" spans="1:9">
      <c r="A47" s="59" t="s">
        <v>25</v>
      </c>
      <c r="B47" s="60" t="s">
        <v>38</v>
      </c>
      <c r="C47" s="61" t="e">
        <f>(K37)/C43</f>
        <v>#DIV/0!</v>
      </c>
      <c r="D47" s="65" t="s">
        <v>39</v>
      </c>
      <c r="E47" s="66" t="e">
        <f>(C45-C47)</f>
        <v>#DIV/0!</v>
      </c>
      <c r="F47" s="67"/>
      <c r="G47" s="3"/>
      <c r="H47" s="3"/>
      <c r="I47" s="3"/>
    </row>
    <row r="48" ht="17.25" spans="1:9">
      <c r="A48" s="59" t="s">
        <v>24</v>
      </c>
      <c r="B48" s="68" t="s">
        <v>40</v>
      </c>
      <c r="C48" s="69" t="e">
        <f>(I37/H37)</f>
        <v>#DIV/0!</v>
      </c>
      <c r="D48" s="70" t="s">
        <v>39</v>
      </c>
      <c r="E48" s="71" t="e">
        <f>E47/C45</f>
        <v>#DIV/0!</v>
      </c>
      <c r="F48" s="3"/>
      <c r="G48" s="3"/>
      <c r="H48" s="3"/>
      <c r="I48" s="3"/>
    </row>
  </sheetData>
  <mergeCells count="12">
    <mergeCell ref="A1:O1"/>
    <mergeCell ref="F3:I3"/>
    <mergeCell ref="A3:A4"/>
    <mergeCell ref="B3:B4"/>
    <mergeCell ref="C3:C4"/>
    <mergeCell ref="D3:D4"/>
    <mergeCell ref="E3:E4"/>
    <mergeCell ref="K3:K4"/>
    <mergeCell ref="L3:L4"/>
    <mergeCell ref="M3:M4"/>
    <mergeCell ref="N3:N4"/>
    <mergeCell ref="O3:O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workbookViewId="0">
      <selection activeCell="A2" sqref="A2"/>
    </sheetView>
  </sheetViews>
  <sheetFormatPr defaultColWidth="10.4416666666667" defaultRowHeight="14.25"/>
  <cols>
    <col min="1" max="1" width="10.4416666666667" style="2"/>
    <col min="2" max="2" width="17.3333333333333" style="2" customWidth="1"/>
    <col min="3" max="3" width="12.75" style="2" customWidth="1"/>
    <col min="4" max="4" width="10.4416666666667" style="4"/>
    <col min="5" max="8" width="10.4416666666667" style="2"/>
    <col min="9" max="9" width="11.775" style="2" customWidth="1"/>
    <col min="10" max="10" width="14.8833333333333" style="2" customWidth="1"/>
    <col min="11" max="11" width="12" style="2" customWidth="1"/>
    <col min="12" max="13" width="12.4416666666667" style="2" customWidth="1"/>
    <col min="14" max="14" width="15.3333333333333" style="5" customWidth="1"/>
    <col min="15" max="15" width="10.4416666666667" style="6"/>
    <col min="16" max="16384" width="10.4416666666667" style="2"/>
  </cols>
  <sheetData>
    <row r="1" ht="30" spans="1:15">
      <c r="A1" s="7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0.25" spans="1:12">
      <c r="A2" s="233" t="s">
        <v>1</v>
      </c>
      <c r="L2" s="2" t="s">
        <v>2</v>
      </c>
    </row>
    <row r="3" spans="1:15">
      <c r="A3" s="9" t="s">
        <v>3</v>
      </c>
      <c r="B3" s="282" t="s">
        <v>4</v>
      </c>
      <c r="C3" s="283" t="s">
        <v>5</v>
      </c>
      <c r="D3" s="9" t="s">
        <v>6</v>
      </c>
      <c r="E3" s="9" t="s">
        <v>7</v>
      </c>
      <c r="F3" s="22" t="s">
        <v>8</v>
      </c>
      <c r="G3" s="284"/>
      <c r="H3" s="284"/>
      <c r="I3" s="284"/>
      <c r="J3" s="317"/>
      <c r="K3" s="318" t="s">
        <v>9</v>
      </c>
      <c r="L3" s="9" t="s">
        <v>10</v>
      </c>
      <c r="M3" s="9" t="s">
        <v>11</v>
      </c>
      <c r="N3" s="75" t="s">
        <v>12</v>
      </c>
      <c r="O3" s="76" t="s">
        <v>13</v>
      </c>
    </row>
    <row r="4" ht="15" spans="1:15">
      <c r="A4" s="14"/>
      <c r="B4" s="285"/>
      <c r="C4" s="286"/>
      <c r="D4" s="14"/>
      <c r="E4" s="14"/>
      <c r="F4" s="287" t="s">
        <v>14</v>
      </c>
      <c r="G4" s="288" t="s">
        <v>15</v>
      </c>
      <c r="H4" s="288" t="s">
        <v>16</v>
      </c>
      <c r="I4" s="320" t="s">
        <v>17</v>
      </c>
      <c r="J4" s="321" t="s">
        <v>18</v>
      </c>
      <c r="K4" s="322"/>
      <c r="L4" s="14"/>
      <c r="M4" s="14"/>
      <c r="N4" s="81"/>
      <c r="O4" s="82"/>
    </row>
    <row r="5" ht="15" spans="1:15">
      <c r="A5" s="19" t="s">
        <v>19</v>
      </c>
      <c r="B5" s="406"/>
      <c r="C5" s="436"/>
      <c r="D5" s="137"/>
      <c r="E5" s="137"/>
      <c r="F5" s="437"/>
      <c r="G5" s="438"/>
      <c r="H5" s="438"/>
      <c r="I5" s="446"/>
      <c r="J5" s="447"/>
      <c r="K5" s="417"/>
      <c r="L5" s="326">
        <f>SUM(V4)</f>
        <v>0</v>
      </c>
      <c r="M5" s="86"/>
      <c r="N5" s="87"/>
      <c r="O5" s="88"/>
    </row>
    <row r="6" ht="16.5" spans="1:15">
      <c r="A6" s="25">
        <v>45231</v>
      </c>
      <c r="B6" s="293">
        <f>B5</f>
        <v>0</v>
      </c>
      <c r="C6" s="135"/>
      <c r="D6" s="142"/>
      <c r="E6" s="142"/>
      <c r="F6" s="407"/>
      <c r="G6" s="408"/>
      <c r="H6" s="304"/>
      <c r="I6" s="339"/>
      <c r="J6" s="418"/>
      <c r="K6" s="419">
        <f>SUM(H6+I6)</f>
        <v>0</v>
      </c>
      <c r="L6" s="448">
        <f>B6+C6-D6-E6-K6</f>
        <v>0</v>
      </c>
      <c r="M6" s="93"/>
      <c r="N6" s="94"/>
      <c r="O6" s="95"/>
    </row>
    <row r="7" ht="16.5" spans="1:15">
      <c r="A7" s="25">
        <v>45232</v>
      </c>
      <c r="B7" s="293">
        <f t="shared" ref="B7:B18" si="0">SUM(L6)</f>
        <v>0</v>
      </c>
      <c r="C7" s="135"/>
      <c r="D7" s="145"/>
      <c r="E7" s="146"/>
      <c r="F7" s="407"/>
      <c r="G7" s="408"/>
      <c r="H7" s="304"/>
      <c r="I7" s="339"/>
      <c r="J7" s="418"/>
      <c r="K7" s="419">
        <f t="shared" ref="K7:K39" si="1">SUM(H7+I7)</f>
        <v>0</v>
      </c>
      <c r="L7" s="448">
        <f t="shared" ref="L7:L39" si="2">B7+C7-D7-E7-K7</f>
        <v>0</v>
      </c>
      <c r="M7" s="93"/>
      <c r="N7" s="96"/>
      <c r="O7" s="97"/>
    </row>
    <row r="8" ht="16.5" spans="1:15">
      <c r="A8" s="25">
        <v>45233</v>
      </c>
      <c r="B8" s="293">
        <f t="shared" si="0"/>
        <v>0</v>
      </c>
      <c r="C8" s="135"/>
      <c r="D8" s="145"/>
      <c r="E8" s="146"/>
      <c r="F8" s="407"/>
      <c r="G8" s="408"/>
      <c r="H8" s="304"/>
      <c r="I8" s="339"/>
      <c r="J8" s="418"/>
      <c r="K8" s="419">
        <f t="shared" si="1"/>
        <v>0</v>
      </c>
      <c r="L8" s="448">
        <f t="shared" si="2"/>
        <v>0</v>
      </c>
      <c r="M8" s="93"/>
      <c r="N8" s="96"/>
      <c r="O8" s="98"/>
    </row>
    <row r="9" ht="16.5" spans="1:15">
      <c r="A9" s="25">
        <v>45234</v>
      </c>
      <c r="B9" s="293">
        <f t="shared" si="0"/>
        <v>0</v>
      </c>
      <c r="C9" s="135"/>
      <c r="D9" s="33"/>
      <c r="E9" s="36"/>
      <c r="F9" s="407"/>
      <c r="G9" s="408"/>
      <c r="H9" s="304"/>
      <c r="I9" s="339"/>
      <c r="J9" s="418"/>
      <c r="K9" s="419">
        <f t="shared" si="1"/>
        <v>0</v>
      </c>
      <c r="L9" s="448">
        <f t="shared" si="2"/>
        <v>0</v>
      </c>
      <c r="M9" s="93"/>
      <c r="N9" s="96"/>
      <c r="O9" s="98"/>
    </row>
    <row r="10" ht="16.5" spans="1:16">
      <c r="A10" s="25">
        <v>45235</v>
      </c>
      <c r="B10" s="293">
        <f t="shared" si="0"/>
        <v>0</v>
      </c>
      <c r="C10" s="135"/>
      <c r="D10" s="33"/>
      <c r="E10" s="36"/>
      <c r="F10" s="303"/>
      <c r="G10" s="304"/>
      <c r="H10" s="304"/>
      <c r="I10" s="338"/>
      <c r="J10" s="418"/>
      <c r="K10" s="419">
        <f t="shared" si="1"/>
        <v>0</v>
      </c>
      <c r="L10" s="448">
        <f t="shared" si="2"/>
        <v>0</v>
      </c>
      <c r="M10" s="93"/>
      <c r="N10" s="96"/>
      <c r="O10" s="98"/>
      <c r="P10" s="100"/>
    </row>
    <row r="11" ht="16.5" spans="1:15">
      <c r="A11" s="25">
        <v>45236</v>
      </c>
      <c r="B11" s="293">
        <f t="shared" si="0"/>
        <v>0</v>
      </c>
      <c r="C11" s="135"/>
      <c r="D11" s="119"/>
      <c r="E11" s="33"/>
      <c r="F11" s="303"/>
      <c r="G11" s="304"/>
      <c r="H11" s="304"/>
      <c r="I11" s="338"/>
      <c r="J11" s="418"/>
      <c r="K11" s="419">
        <f t="shared" si="1"/>
        <v>0</v>
      </c>
      <c r="L11" s="448">
        <f t="shared" si="2"/>
        <v>0</v>
      </c>
      <c r="M11" s="93"/>
      <c r="N11" s="96"/>
      <c r="O11" s="98"/>
    </row>
    <row r="12" ht="16.5" spans="1:15">
      <c r="A12" s="25">
        <v>45237</v>
      </c>
      <c r="B12" s="293">
        <f t="shared" si="0"/>
        <v>0</v>
      </c>
      <c r="C12" s="135"/>
      <c r="D12" s="33"/>
      <c r="E12" s="36"/>
      <c r="F12" s="303"/>
      <c r="G12" s="304"/>
      <c r="H12" s="304"/>
      <c r="I12" s="338"/>
      <c r="J12" s="418"/>
      <c r="K12" s="419">
        <f t="shared" si="1"/>
        <v>0</v>
      </c>
      <c r="L12" s="448">
        <f t="shared" si="2"/>
        <v>0</v>
      </c>
      <c r="M12" s="93"/>
      <c r="N12" s="96"/>
      <c r="O12" s="98"/>
    </row>
    <row r="13" ht="16.5" spans="1:15">
      <c r="A13" s="25">
        <v>45238</v>
      </c>
      <c r="B13" s="293">
        <f t="shared" si="0"/>
        <v>0</v>
      </c>
      <c r="C13" s="135"/>
      <c r="D13" s="33"/>
      <c r="E13" s="36"/>
      <c r="F13" s="303"/>
      <c r="G13" s="304"/>
      <c r="H13" s="304"/>
      <c r="I13" s="338"/>
      <c r="J13" s="418"/>
      <c r="K13" s="419">
        <f t="shared" si="1"/>
        <v>0</v>
      </c>
      <c r="L13" s="448">
        <f t="shared" si="2"/>
        <v>0</v>
      </c>
      <c r="M13" s="93"/>
      <c r="N13" s="96"/>
      <c r="O13" s="98"/>
    </row>
    <row r="14" ht="16.5" spans="1:15">
      <c r="A14" s="25">
        <v>45239</v>
      </c>
      <c r="B14" s="293">
        <f t="shared" si="0"/>
        <v>0</v>
      </c>
      <c r="C14" s="135"/>
      <c r="D14" s="33"/>
      <c r="E14" s="36"/>
      <c r="F14" s="303"/>
      <c r="G14" s="304"/>
      <c r="H14" s="304"/>
      <c r="I14" s="338"/>
      <c r="J14" s="418"/>
      <c r="K14" s="419">
        <f t="shared" si="1"/>
        <v>0</v>
      </c>
      <c r="L14" s="448">
        <f t="shared" si="2"/>
        <v>0</v>
      </c>
      <c r="M14" s="93"/>
      <c r="N14" s="96"/>
      <c r="O14" s="98"/>
    </row>
    <row r="15" ht="16.5" spans="1:15">
      <c r="A15" s="25">
        <v>45240</v>
      </c>
      <c r="B15" s="293">
        <f t="shared" si="0"/>
        <v>0</v>
      </c>
      <c r="C15" s="135"/>
      <c r="D15" s="33"/>
      <c r="E15" s="36"/>
      <c r="F15" s="303"/>
      <c r="G15" s="304"/>
      <c r="H15" s="304"/>
      <c r="I15" s="338"/>
      <c r="J15" s="418"/>
      <c r="K15" s="419">
        <f t="shared" si="1"/>
        <v>0</v>
      </c>
      <c r="L15" s="448">
        <f t="shared" si="2"/>
        <v>0</v>
      </c>
      <c r="M15" s="93"/>
      <c r="N15" s="96"/>
      <c r="O15" s="98"/>
    </row>
    <row r="16" ht="16.5" spans="1:15">
      <c r="A16" s="25">
        <v>45241</v>
      </c>
      <c r="B16" s="293">
        <f t="shared" si="0"/>
        <v>0</v>
      </c>
      <c r="C16" s="135"/>
      <c r="D16" s="33"/>
      <c r="E16" s="36"/>
      <c r="F16" s="303"/>
      <c r="G16" s="304"/>
      <c r="H16" s="304"/>
      <c r="I16" s="338"/>
      <c r="J16" s="418"/>
      <c r="K16" s="419">
        <f t="shared" si="1"/>
        <v>0</v>
      </c>
      <c r="L16" s="448">
        <f t="shared" si="2"/>
        <v>0</v>
      </c>
      <c r="M16" s="93"/>
      <c r="N16" s="96"/>
      <c r="O16" s="98"/>
    </row>
    <row r="17" ht="16.5" spans="1:15">
      <c r="A17" s="25">
        <v>45242</v>
      </c>
      <c r="B17" s="293">
        <f t="shared" si="0"/>
        <v>0</v>
      </c>
      <c r="C17" s="135"/>
      <c r="D17" s="33"/>
      <c r="E17" s="36"/>
      <c r="F17" s="303"/>
      <c r="G17" s="304"/>
      <c r="H17" s="304"/>
      <c r="I17" s="338"/>
      <c r="J17" s="418"/>
      <c r="K17" s="419">
        <f t="shared" si="1"/>
        <v>0</v>
      </c>
      <c r="L17" s="448">
        <f t="shared" si="2"/>
        <v>0</v>
      </c>
      <c r="M17" s="93"/>
      <c r="N17" s="96"/>
      <c r="O17" s="98"/>
    </row>
    <row r="18" ht="16.5" spans="1:16">
      <c r="A18" s="25">
        <v>45243</v>
      </c>
      <c r="B18" s="293">
        <f t="shared" si="0"/>
        <v>0</v>
      </c>
      <c r="C18" s="135"/>
      <c r="D18" s="33"/>
      <c r="E18" s="33"/>
      <c r="F18" s="303"/>
      <c r="G18" s="304"/>
      <c r="H18" s="304"/>
      <c r="I18" s="338"/>
      <c r="J18" s="418"/>
      <c r="K18" s="419">
        <f t="shared" si="1"/>
        <v>0</v>
      </c>
      <c r="L18" s="448">
        <f t="shared" si="2"/>
        <v>0</v>
      </c>
      <c r="M18" s="93"/>
      <c r="N18" s="96"/>
      <c r="O18" s="98"/>
      <c r="P18" s="100"/>
    </row>
    <row r="19" ht="16.5" spans="1:15">
      <c r="A19" s="25">
        <v>45244</v>
      </c>
      <c r="B19" s="293">
        <f t="shared" ref="B19:B39" si="3">SUM(L18)</f>
        <v>0</v>
      </c>
      <c r="C19" s="135"/>
      <c r="D19" s="33"/>
      <c r="E19" s="36"/>
      <c r="F19" s="303"/>
      <c r="G19" s="304"/>
      <c r="H19" s="304"/>
      <c r="I19" s="338"/>
      <c r="J19" s="418"/>
      <c r="K19" s="419">
        <f t="shared" si="1"/>
        <v>0</v>
      </c>
      <c r="L19" s="448">
        <f t="shared" si="2"/>
        <v>0</v>
      </c>
      <c r="M19" s="93"/>
      <c r="N19" s="96"/>
      <c r="O19" s="98"/>
    </row>
    <row r="20" ht="16.5" spans="1:15">
      <c r="A20" s="25">
        <v>45245</v>
      </c>
      <c r="B20" s="293">
        <f t="shared" si="3"/>
        <v>0</v>
      </c>
      <c r="C20" s="303"/>
      <c r="D20" s="33"/>
      <c r="E20" s="36"/>
      <c r="F20" s="303"/>
      <c r="G20" s="304"/>
      <c r="H20" s="304"/>
      <c r="I20" s="338"/>
      <c r="J20" s="418"/>
      <c r="K20" s="419">
        <f t="shared" si="1"/>
        <v>0</v>
      </c>
      <c r="L20" s="448">
        <f t="shared" si="2"/>
        <v>0</v>
      </c>
      <c r="M20" s="93"/>
      <c r="N20" s="96"/>
      <c r="O20" s="98"/>
    </row>
    <row r="21" ht="16.5" spans="1:15">
      <c r="A21" s="25">
        <v>45246</v>
      </c>
      <c r="B21" s="293">
        <f t="shared" si="3"/>
        <v>0</v>
      </c>
      <c r="C21" s="135"/>
      <c r="D21" s="33"/>
      <c r="E21" s="36"/>
      <c r="F21" s="303"/>
      <c r="G21" s="304"/>
      <c r="H21" s="304"/>
      <c r="I21" s="338"/>
      <c r="J21" s="418"/>
      <c r="K21" s="419">
        <f t="shared" si="1"/>
        <v>0</v>
      </c>
      <c r="L21" s="448">
        <f t="shared" si="2"/>
        <v>0</v>
      </c>
      <c r="M21" s="93"/>
      <c r="N21" s="96"/>
      <c r="O21" s="98"/>
    </row>
    <row r="22" ht="16.2" customHeight="1" spans="1:15">
      <c r="A22" s="25">
        <v>45247</v>
      </c>
      <c r="B22" s="293">
        <f t="shared" si="3"/>
        <v>0</v>
      </c>
      <c r="C22" s="135"/>
      <c r="D22" s="33"/>
      <c r="E22" s="36"/>
      <c r="F22" s="303"/>
      <c r="G22" s="304"/>
      <c r="H22" s="304"/>
      <c r="I22" s="338"/>
      <c r="J22" s="418"/>
      <c r="K22" s="419">
        <f t="shared" si="1"/>
        <v>0</v>
      </c>
      <c r="L22" s="448">
        <f t="shared" si="2"/>
        <v>0</v>
      </c>
      <c r="M22" s="93"/>
      <c r="N22" s="96"/>
      <c r="O22" s="98"/>
    </row>
    <row r="23" ht="16.5" hidden="1" spans="1:15">
      <c r="A23" s="25">
        <v>43787</v>
      </c>
      <c r="B23" s="293">
        <f t="shared" si="3"/>
        <v>0</v>
      </c>
      <c r="C23" s="135"/>
      <c r="D23" s="33"/>
      <c r="E23" s="36"/>
      <c r="F23" s="303"/>
      <c r="G23" s="304"/>
      <c r="H23" s="304"/>
      <c r="I23" s="338"/>
      <c r="J23" s="418"/>
      <c r="K23" s="419">
        <f t="shared" si="1"/>
        <v>0</v>
      </c>
      <c r="L23" s="448">
        <f t="shared" si="2"/>
        <v>0</v>
      </c>
      <c r="M23" s="93"/>
      <c r="N23" s="101"/>
      <c r="O23" s="98"/>
    </row>
    <row r="24" ht="16.5" hidden="1" spans="1:15">
      <c r="A24" s="25">
        <v>43788</v>
      </c>
      <c r="B24" s="293">
        <f t="shared" si="3"/>
        <v>0</v>
      </c>
      <c r="C24" s="135"/>
      <c r="D24" s="33"/>
      <c r="E24" s="36"/>
      <c r="F24" s="303"/>
      <c r="G24" s="304"/>
      <c r="H24" s="304"/>
      <c r="I24" s="338"/>
      <c r="J24" s="418"/>
      <c r="K24" s="419">
        <f t="shared" si="1"/>
        <v>0</v>
      </c>
      <c r="L24" s="448">
        <f t="shared" si="2"/>
        <v>0</v>
      </c>
      <c r="M24" s="93"/>
      <c r="N24" s="96"/>
      <c r="O24" s="98"/>
    </row>
    <row r="25" ht="16.5" hidden="1" spans="1:15">
      <c r="A25" s="25">
        <v>43789</v>
      </c>
      <c r="B25" s="293">
        <f t="shared" si="3"/>
        <v>0</v>
      </c>
      <c r="C25" s="135"/>
      <c r="D25" s="33"/>
      <c r="E25" s="36"/>
      <c r="F25" s="303"/>
      <c r="G25" s="304"/>
      <c r="H25" s="304"/>
      <c r="I25" s="338"/>
      <c r="J25" s="418"/>
      <c r="K25" s="419">
        <f t="shared" si="1"/>
        <v>0</v>
      </c>
      <c r="L25" s="448">
        <f t="shared" si="2"/>
        <v>0</v>
      </c>
      <c r="M25" s="93"/>
      <c r="N25" s="96"/>
      <c r="O25" s="98"/>
    </row>
    <row r="26" ht="16.5" hidden="1" spans="1:15">
      <c r="A26" s="25">
        <v>43790</v>
      </c>
      <c r="B26" s="293">
        <f t="shared" si="3"/>
        <v>0</v>
      </c>
      <c r="C26" s="135"/>
      <c r="D26" s="33"/>
      <c r="E26" s="36"/>
      <c r="F26" s="303"/>
      <c r="G26" s="304"/>
      <c r="H26" s="304"/>
      <c r="I26" s="338"/>
      <c r="J26" s="418"/>
      <c r="K26" s="419">
        <f t="shared" si="1"/>
        <v>0</v>
      </c>
      <c r="L26" s="448">
        <f t="shared" si="2"/>
        <v>0</v>
      </c>
      <c r="M26" s="93"/>
      <c r="N26" s="96"/>
      <c r="O26" s="98"/>
    </row>
    <row r="27" ht="16.5" spans="1:16">
      <c r="A27" s="25">
        <v>45248</v>
      </c>
      <c r="B27" s="293">
        <f t="shared" si="3"/>
        <v>0</v>
      </c>
      <c r="C27" s="135"/>
      <c r="D27" s="33"/>
      <c r="E27" s="36"/>
      <c r="F27" s="303"/>
      <c r="G27" s="304"/>
      <c r="H27" s="304"/>
      <c r="I27" s="338"/>
      <c r="J27" s="418"/>
      <c r="K27" s="419">
        <f t="shared" si="1"/>
        <v>0</v>
      </c>
      <c r="L27" s="448">
        <f t="shared" si="2"/>
        <v>0</v>
      </c>
      <c r="M27" s="93"/>
      <c r="N27" s="96"/>
      <c r="O27" s="98"/>
      <c r="P27" s="100"/>
    </row>
    <row r="28" ht="16.5" spans="1:15">
      <c r="A28" s="25">
        <v>45249</v>
      </c>
      <c r="B28" s="293">
        <f t="shared" si="3"/>
        <v>0</v>
      </c>
      <c r="C28" s="135"/>
      <c r="D28" s="33"/>
      <c r="E28" s="36"/>
      <c r="F28" s="303"/>
      <c r="G28" s="304"/>
      <c r="H28" s="304"/>
      <c r="I28" s="339"/>
      <c r="J28" s="418"/>
      <c r="K28" s="419">
        <f t="shared" si="1"/>
        <v>0</v>
      </c>
      <c r="L28" s="448">
        <f t="shared" si="2"/>
        <v>0</v>
      </c>
      <c r="M28" s="93"/>
      <c r="N28" s="96"/>
      <c r="O28" s="98"/>
    </row>
    <row r="29" ht="16.5" spans="1:15">
      <c r="A29" s="25">
        <v>45250</v>
      </c>
      <c r="B29" s="293">
        <f t="shared" si="3"/>
        <v>0</v>
      </c>
      <c r="C29" s="135"/>
      <c r="D29" s="33"/>
      <c r="E29" s="33"/>
      <c r="F29" s="303"/>
      <c r="G29" s="304"/>
      <c r="H29" s="304"/>
      <c r="I29" s="338"/>
      <c r="J29" s="418"/>
      <c r="K29" s="419">
        <f t="shared" si="1"/>
        <v>0</v>
      </c>
      <c r="L29" s="448">
        <f t="shared" si="2"/>
        <v>0</v>
      </c>
      <c r="M29" s="93"/>
      <c r="N29" s="96"/>
      <c r="O29" s="98"/>
    </row>
    <row r="30" ht="16.5" spans="1:15">
      <c r="A30" s="25">
        <v>45251</v>
      </c>
      <c r="B30" s="293">
        <f t="shared" si="3"/>
        <v>0</v>
      </c>
      <c r="C30" s="135"/>
      <c r="D30" s="33"/>
      <c r="E30" s="36"/>
      <c r="F30" s="303"/>
      <c r="G30" s="304"/>
      <c r="H30" s="304"/>
      <c r="I30" s="338"/>
      <c r="J30" s="418"/>
      <c r="K30" s="419">
        <f t="shared" si="1"/>
        <v>0</v>
      </c>
      <c r="L30" s="448">
        <f t="shared" si="2"/>
        <v>0</v>
      </c>
      <c r="M30" s="93"/>
      <c r="N30" s="96"/>
      <c r="O30" s="98"/>
    </row>
    <row r="31" ht="16.5" spans="1:15">
      <c r="A31" s="25">
        <v>45252</v>
      </c>
      <c r="B31" s="293">
        <f t="shared" si="3"/>
        <v>0</v>
      </c>
      <c r="C31" s="414"/>
      <c r="D31" s="33"/>
      <c r="E31" s="36"/>
      <c r="F31" s="303"/>
      <c r="G31" s="304"/>
      <c r="H31" s="304"/>
      <c r="I31" s="338"/>
      <c r="J31" s="418"/>
      <c r="K31" s="419">
        <f t="shared" si="1"/>
        <v>0</v>
      </c>
      <c r="L31" s="448">
        <f t="shared" si="2"/>
        <v>0</v>
      </c>
      <c r="M31" s="93"/>
      <c r="N31" s="96"/>
      <c r="O31" s="98"/>
    </row>
    <row r="32" ht="16.5" spans="1:15">
      <c r="A32" s="25">
        <v>45253</v>
      </c>
      <c r="B32" s="293">
        <f t="shared" si="3"/>
        <v>0</v>
      </c>
      <c r="C32" s="414"/>
      <c r="D32" s="33"/>
      <c r="E32" s="36"/>
      <c r="F32" s="303"/>
      <c r="G32" s="304"/>
      <c r="H32" s="304"/>
      <c r="I32" s="338"/>
      <c r="J32" s="418"/>
      <c r="K32" s="419">
        <f t="shared" si="1"/>
        <v>0</v>
      </c>
      <c r="L32" s="332">
        <f t="shared" si="2"/>
        <v>0</v>
      </c>
      <c r="M32" s="93"/>
      <c r="N32" s="96"/>
      <c r="O32" s="98"/>
    </row>
    <row r="33" ht="16.5" spans="1:16">
      <c r="A33" s="25">
        <v>45254</v>
      </c>
      <c r="B33" s="293">
        <f t="shared" si="3"/>
        <v>0</v>
      </c>
      <c r="C33" s="414"/>
      <c r="D33" s="33"/>
      <c r="E33" s="36"/>
      <c r="F33" s="303"/>
      <c r="G33" s="304"/>
      <c r="H33" s="304"/>
      <c r="I33" s="338"/>
      <c r="J33" s="418"/>
      <c r="K33" s="419">
        <f t="shared" si="1"/>
        <v>0</v>
      </c>
      <c r="L33" s="332">
        <f t="shared" si="2"/>
        <v>0</v>
      </c>
      <c r="M33" s="93"/>
      <c r="N33" s="96"/>
      <c r="O33" s="98"/>
      <c r="P33" s="100"/>
    </row>
    <row r="34" s="1" customFormat="1" ht="16.5" spans="1:15">
      <c r="A34" s="25">
        <v>45255</v>
      </c>
      <c r="B34" s="293">
        <f t="shared" si="3"/>
        <v>0</v>
      </c>
      <c r="C34" s="414"/>
      <c r="D34" s="33"/>
      <c r="E34" s="36"/>
      <c r="F34" s="303"/>
      <c r="G34" s="304"/>
      <c r="H34" s="304"/>
      <c r="I34" s="338"/>
      <c r="J34" s="418"/>
      <c r="K34" s="419">
        <f t="shared" si="1"/>
        <v>0</v>
      </c>
      <c r="L34" s="332">
        <f t="shared" si="2"/>
        <v>0</v>
      </c>
      <c r="M34" s="93"/>
      <c r="N34" s="96"/>
      <c r="O34" s="102"/>
    </row>
    <row r="35" ht="16.5" spans="1:15">
      <c r="A35" s="25">
        <v>45256</v>
      </c>
      <c r="B35" s="293">
        <f t="shared" si="3"/>
        <v>0</v>
      </c>
      <c r="C35" s="439"/>
      <c r="D35" s="33"/>
      <c r="E35" s="36"/>
      <c r="F35" s="303"/>
      <c r="G35" s="304"/>
      <c r="H35" s="304"/>
      <c r="I35" s="339"/>
      <c r="J35" s="418"/>
      <c r="K35" s="419">
        <f t="shared" si="1"/>
        <v>0</v>
      </c>
      <c r="L35" s="332">
        <f t="shared" si="2"/>
        <v>0</v>
      </c>
      <c r="M35" s="93"/>
      <c r="N35" s="96"/>
      <c r="O35" s="98"/>
    </row>
    <row r="36" ht="16.5" spans="1:15">
      <c r="A36" s="25">
        <v>45257</v>
      </c>
      <c r="B36" s="293">
        <f t="shared" si="3"/>
        <v>0</v>
      </c>
      <c r="C36" s="440"/>
      <c r="D36" s="441"/>
      <c r="E36" s="146"/>
      <c r="F36" s="442"/>
      <c r="G36" s="304"/>
      <c r="H36" s="304"/>
      <c r="I36" s="339"/>
      <c r="J36" s="418"/>
      <c r="K36" s="419">
        <f t="shared" si="1"/>
        <v>0</v>
      </c>
      <c r="L36" s="332">
        <f t="shared" si="2"/>
        <v>0</v>
      </c>
      <c r="M36" s="93"/>
      <c r="N36" s="96"/>
      <c r="O36" s="449"/>
    </row>
    <row r="37" ht="16.5" spans="1:15">
      <c r="A37" s="25">
        <v>45258</v>
      </c>
      <c r="B37" s="293">
        <f t="shared" si="3"/>
        <v>0</v>
      </c>
      <c r="C37" s="440"/>
      <c r="D37" s="441"/>
      <c r="E37" s="146"/>
      <c r="F37" s="442"/>
      <c r="G37" s="304"/>
      <c r="H37" s="304"/>
      <c r="I37" s="339"/>
      <c r="J37" s="418"/>
      <c r="K37" s="419">
        <f t="shared" si="1"/>
        <v>0</v>
      </c>
      <c r="L37" s="332">
        <f t="shared" si="2"/>
        <v>0</v>
      </c>
      <c r="M37" s="93"/>
      <c r="N37" s="96"/>
      <c r="O37" s="449"/>
    </row>
    <row r="38" ht="16.5" spans="1:15">
      <c r="A38" s="25">
        <v>45259</v>
      </c>
      <c r="B38" s="293">
        <f t="shared" si="3"/>
        <v>0</v>
      </c>
      <c r="C38" s="440"/>
      <c r="D38" s="441"/>
      <c r="E38" s="146"/>
      <c r="F38" s="442"/>
      <c r="G38" s="304"/>
      <c r="H38" s="304"/>
      <c r="I38" s="339"/>
      <c r="J38" s="418"/>
      <c r="K38" s="419">
        <f t="shared" si="1"/>
        <v>0</v>
      </c>
      <c r="L38" s="332">
        <f t="shared" si="2"/>
        <v>0</v>
      </c>
      <c r="M38" s="93"/>
      <c r="N38" s="96"/>
      <c r="O38" s="449"/>
    </row>
    <row r="39" ht="18" customHeight="1" spans="1:15">
      <c r="A39" s="25">
        <v>45260</v>
      </c>
      <c r="B39" s="293">
        <f t="shared" si="3"/>
        <v>0</v>
      </c>
      <c r="C39" s="443"/>
      <c r="D39" s="444"/>
      <c r="E39" s="142"/>
      <c r="F39" s="407"/>
      <c r="G39" s="408"/>
      <c r="H39" s="304"/>
      <c r="I39" s="339"/>
      <c r="J39" s="450"/>
      <c r="K39" s="419">
        <f t="shared" si="1"/>
        <v>0</v>
      </c>
      <c r="L39" s="332">
        <f t="shared" si="2"/>
        <v>0</v>
      </c>
      <c r="M39" s="104"/>
      <c r="N39" s="96"/>
      <c r="O39" s="105"/>
    </row>
    <row r="40" ht="15" spans="1:15">
      <c r="A40" s="43"/>
      <c r="B40" s="310"/>
      <c r="C40" s="445"/>
      <c r="D40" s="46"/>
      <c r="E40" s="47"/>
      <c r="F40" s="312"/>
      <c r="G40" s="313"/>
      <c r="H40" s="314"/>
      <c r="I40" s="313"/>
      <c r="J40" s="313"/>
      <c r="K40" s="428">
        <f>SUM(K5:K39)</f>
        <v>0</v>
      </c>
      <c r="L40" s="429">
        <f>SUM(B5+C40-D40-E40-K40)</f>
        <v>0</v>
      </c>
      <c r="M40" s="429"/>
      <c r="N40" s="108"/>
      <c r="O40" s="109"/>
    </row>
    <row r="42" ht="17.25" spans="1:13">
      <c r="A42" s="50" t="s">
        <v>20</v>
      </c>
      <c r="B42" s="51"/>
      <c r="C42" s="52" t="s">
        <v>21</v>
      </c>
      <c r="D42" s="53" t="s">
        <v>22</v>
      </c>
      <c r="E42" s="3"/>
      <c r="F42" s="3"/>
      <c r="G42" s="3"/>
      <c r="H42" s="50" t="s">
        <v>23</v>
      </c>
      <c r="I42" s="59" t="s">
        <v>24</v>
      </c>
      <c r="J42" s="3"/>
      <c r="K42" s="50" t="s">
        <v>25</v>
      </c>
      <c r="L42" s="3"/>
      <c r="M42" s="3"/>
    </row>
    <row r="43" ht="17.25" spans="1:13">
      <c r="A43" s="50"/>
      <c r="B43" s="51"/>
      <c r="C43" s="52"/>
      <c r="D43" s="53"/>
      <c r="E43" s="3"/>
      <c r="F43" s="3"/>
      <c r="G43" s="3"/>
      <c r="H43" s="50"/>
      <c r="I43" s="59"/>
      <c r="J43" s="3"/>
      <c r="K43" s="110" t="s">
        <v>42</v>
      </c>
      <c r="L43" s="111">
        <f>L40</f>
        <v>0</v>
      </c>
      <c r="M43" s="112" t="s">
        <v>27</v>
      </c>
    </row>
    <row r="44" ht="16.5" spans="1:13">
      <c r="A44" s="50"/>
      <c r="B44" s="51"/>
      <c r="C44" s="52"/>
      <c r="D44" s="53"/>
      <c r="E44" s="3"/>
      <c r="F44" s="3"/>
      <c r="G44" s="3"/>
      <c r="H44" s="50"/>
      <c r="I44" s="59"/>
      <c r="J44" s="3"/>
      <c r="K44" s="50"/>
      <c r="L44" s="3"/>
      <c r="M44" s="3"/>
    </row>
    <row r="45" ht="15" spans="9:13">
      <c r="I45" s="430"/>
      <c r="J45" s="430"/>
      <c r="K45" s="113" t="s">
        <v>28</v>
      </c>
      <c r="L45" s="115"/>
      <c r="M45" s="349"/>
    </row>
    <row r="46" spans="1:9">
      <c r="A46" s="55" t="s">
        <v>29</v>
      </c>
      <c r="B46" s="56" t="s">
        <v>30</v>
      </c>
      <c r="C46" s="57"/>
      <c r="D46" s="58"/>
      <c r="E46" s="3"/>
      <c r="F46" s="3"/>
      <c r="G46" s="3"/>
      <c r="H46" s="3"/>
      <c r="I46" s="3"/>
    </row>
    <row r="47" spans="1:9">
      <c r="A47" s="59" t="s">
        <v>31</v>
      </c>
      <c r="B47" s="60" t="s">
        <v>32</v>
      </c>
      <c r="C47" s="61" t="e">
        <f>(C40+B8)/C46</f>
        <v>#DIV/0!</v>
      </c>
      <c r="D47" s="58"/>
      <c r="E47" s="3"/>
      <c r="F47" s="3"/>
      <c r="G47" s="3"/>
      <c r="H47" s="3"/>
      <c r="I47" s="3"/>
    </row>
    <row r="48" spans="1:9">
      <c r="A48" s="59" t="s">
        <v>33</v>
      </c>
      <c r="B48" s="60" t="s">
        <v>34</v>
      </c>
      <c r="C48" s="61" t="e">
        <f>(B8+C40-D40)/C46</f>
        <v>#DIV/0!</v>
      </c>
      <c r="D48" s="58"/>
      <c r="E48" s="3"/>
      <c r="F48" s="3"/>
      <c r="G48" s="3"/>
      <c r="H48" s="3"/>
      <c r="I48" s="3"/>
    </row>
    <row r="49" ht="15" spans="1:9">
      <c r="A49" s="59" t="s">
        <v>23</v>
      </c>
      <c r="B49" s="60" t="s">
        <v>35</v>
      </c>
      <c r="C49" s="61" t="e">
        <f>H40/C46</f>
        <v>#DIV/0!</v>
      </c>
      <c r="D49" s="62" t="s">
        <v>36</v>
      </c>
      <c r="E49" s="62"/>
      <c r="F49" s="63"/>
      <c r="G49" s="64"/>
      <c r="H49" s="3" t="s">
        <v>37</v>
      </c>
      <c r="I49" s="3"/>
    </row>
    <row r="50" ht="17.25" spans="1:9">
      <c r="A50" s="59" t="s">
        <v>25</v>
      </c>
      <c r="B50" s="60" t="s">
        <v>38</v>
      </c>
      <c r="C50" s="61" t="e">
        <f>(K40)/C46</f>
        <v>#DIV/0!</v>
      </c>
      <c r="D50" s="65" t="s">
        <v>39</v>
      </c>
      <c r="E50" s="66" t="e">
        <f>(C48-C50)</f>
        <v>#DIV/0!</v>
      </c>
      <c r="F50" s="67"/>
      <c r="G50" s="3"/>
      <c r="H50" s="3"/>
      <c r="I50" s="3"/>
    </row>
    <row r="51" ht="17.25" spans="1:9">
      <c r="A51" s="59" t="s">
        <v>24</v>
      </c>
      <c r="B51" s="68" t="s">
        <v>40</v>
      </c>
      <c r="C51" s="69" t="e">
        <f>(I40/H40)</f>
        <v>#DIV/0!</v>
      </c>
      <c r="D51" s="70" t="s">
        <v>39</v>
      </c>
      <c r="E51" s="71" t="e">
        <f>E50/C48</f>
        <v>#DIV/0!</v>
      </c>
      <c r="F51" s="3"/>
      <c r="G51" s="3"/>
      <c r="H51" s="3"/>
      <c r="I51" s="3"/>
    </row>
  </sheetData>
  <mergeCells count="12">
    <mergeCell ref="A1:O1"/>
    <mergeCell ref="F3:I3"/>
    <mergeCell ref="A3:A4"/>
    <mergeCell ref="B3:B4"/>
    <mergeCell ref="C3:C4"/>
    <mergeCell ref="D3:D4"/>
    <mergeCell ref="E3:E4"/>
    <mergeCell ref="K3:K4"/>
    <mergeCell ref="L3:L4"/>
    <mergeCell ref="M3:M4"/>
    <mergeCell ref="N3:N4"/>
    <mergeCell ref="O3:O5"/>
  </mergeCells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8"/>
  <sheetViews>
    <sheetView workbookViewId="0">
      <selection activeCell="A2" sqref="A2"/>
    </sheetView>
  </sheetViews>
  <sheetFormatPr defaultColWidth="10.4416666666667" defaultRowHeight="14.25"/>
  <cols>
    <col min="1" max="1" width="10.4416666666667" style="2"/>
    <col min="2" max="2" width="13.6666666666667" style="2" customWidth="1"/>
    <col min="3" max="3" width="12.75" style="2" customWidth="1"/>
    <col min="4" max="4" width="10.4416666666667" style="4"/>
    <col min="5" max="8" width="10.4416666666667" style="2"/>
    <col min="9" max="10" width="14" style="2" customWidth="1"/>
    <col min="11" max="11" width="14.4416666666667" style="2" customWidth="1"/>
    <col min="12" max="13" width="12.4416666666667" style="2" customWidth="1"/>
    <col min="14" max="14" width="15.3333333333333" style="5" customWidth="1"/>
    <col min="15" max="15" width="10.4416666666667" style="6"/>
    <col min="16" max="16384" width="10.4416666666667" style="2"/>
  </cols>
  <sheetData>
    <row r="1" ht="30" spans="1:15">
      <c r="A1" s="7" t="s">
        <v>43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0.25" spans="1:12">
      <c r="A2" s="233" t="s">
        <v>1</v>
      </c>
      <c r="L2" s="2" t="s">
        <v>2</v>
      </c>
    </row>
    <row r="3" spans="1:15">
      <c r="A3" s="9" t="s">
        <v>3</v>
      </c>
      <c r="B3" s="282" t="s">
        <v>4</v>
      </c>
      <c r="C3" s="283" t="s">
        <v>5</v>
      </c>
      <c r="D3" s="9" t="s">
        <v>6</v>
      </c>
      <c r="E3" s="9" t="s">
        <v>7</v>
      </c>
      <c r="F3" s="22" t="s">
        <v>8</v>
      </c>
      <c r="G3" s="284"/>
      <c r="H3" s="284"/>
      <c r="I3" s="284"/>
      <c r="J3" s="317"/>
      <c r="K3" s="318" t="s">
        <v>9</v>
      </c>
      <c r="L3" s="9" t="s">
        <v>10</v>
      </c>
      <c r="M3" s="9" t="s">
        <v>11</v>
      </c>
      <c r="N3" s="75" t="s">
        <v>12</v>
      </c>
      <c r="O3" s="76" t="s">
        <v>13</v>
      </c>
    </row>
    <row r="4" ht="15" spans="1:15">
      <c r="A4" s="14"/>
      <c r="B4" s="285"/>
      <c r="C4" s="286"/>
      <c r="D4" s="14"/>
      <c r="E4" s="14"/>
      <c r="F4" s="287" t="s">
        <v>14</v>
      </c>
      <c r="G4" s="288" t="s">
        <v>15</v>
      </c>
      <c r="H4" s="288" t="s">
        <v>16</v>
      </c>
      <c r="I4" s="320" t="s">
        <v>17</v>
      </c>
      <c r="J4" s="321" t="s">
        <v>18</v>
      </c>
      <c r="K4" s="322"/>
      <c r="L4" s="14"/>
      <c r="M4" s="14"/>
      <c r="N4" s="81"/>
      <c r="O4" s="82"/>
    </row>
    <row r="5" ht="15" spans="1:15">
      <c r="A5" s="19" t="s">
        <v>19</v>
      </c>
      <c r="B5" s="406"/>
      <c r="C5" s="290"/>
      <c r="D5" s="22"/>
      <c r="E5" s="22"/>
      <c r="F5" s="291"/>
      <c r="G5" s="292"/>
      <c r="H5" s="292"/>
      <c r="I5" s="324"/>
      <c r="J5" s="317"/>
      <c r="K5" s="417"/>
      <c r="L5" s="326">
        <f>SUM(V4)</f>
        <v>0</v>
      </c>
      <c r="M5" s="86"/>
      <c r="N5" s="87"/>
      <c r="O5" s="88"/>
    </row>
    <row r="6" ht="16.5" spans="1:15">
      <c r="A6" s="25">
        <v>45200</v>
      </c>
      <c r="B6" s="293">
        <f>B5</f>
        <v>0</v>
      </c>
      <c r="C6" s="293"/>
      <c r="D6" s="27"/>
      <c r="E6" s="27"/>
      <c r="F6" s="294"/>
      <c r="G6" s="295"/>
      <c r="H6" s="296"/>
      <c r="I6" s="329"/>
      <c r="J6" s="330"/>
      <c r="K6" s="419">
        <f>SUM(H6+I6)</f>
        <v>0</v>
      </c>
      <c r="L6" s="332">
        <f>B6+C6-D6-E6-K6</f>
        <v>0</v>
      </c>
      <c r="M6" s="93"/>
      <c r="N6" s="94"/>
      <c r="O6" s="95"/>
    </row>
    <row r="7" ht="16.5" spans="1:15">
      <c r="A7" s="25">
        <v>45201</v>
      </c>
      <c r="B7" s="293">
        <f>SUM(L6)</f>
        <v>0</v>
      </c>
      <c r="C7" s="293"/>
      <c r="D7" s="30"/>
      <c r="E7" s="31"/>
      <c r="F7" s="294"/>
      <c r="G7" s="295"/>
      <c r="H7" s="296"/>
      <c r="I7" s="329"/>
      <c r="J7" s="330"/>
      <c r="K7" s="419">
        <f t="shared" ref="K7:K36" si="0">SUM(H7+I7)</f>
        <v>0</v>
      </c>
      <c r="L7" s="332">
        <f t="shared" ref="L7:L36" si="1">B7+C7-D7-E7-K7</f>
        <v>0</v>
      </c>
      <c r="M7" s="93"/>
      <c r="N7" s="96"/>
      <c r="O7" s="97"/>
    </row>
    <row r="8" ht="16.5" spans="1:15">
      <c r="A8" s="25">
        <v>45202</v>
      </c>
      <c r="B8" s="293">
        <f t="shared" ref="B8:B36" si="2">SUM(L7)</f>
        <v>0</v>
      </c>
      <c r="C8" s="293"/>
      <c r="D8" s="30"/>
      <c r="E8" s="31"/>
      <c r="F8" s="294"/>
      <c r="G8" s="295"/>
      <c r="H8" s="296"/>
      <c r="I8" s="329"/>
      <c r="J8" s="330"/>
      <c r="K8" s="419">
        <f t="shared" si="0"/>
        <v>0</v>
      </c>
      <c r="L8" s="332">
        <f t="shared" si="1"/>
        <v>0</v>
      </c>
      <c r="M8" s="93"/>
      <c r="N8" s="96"/>
      <c r="O8" s="98"/>
    </row>
    <row r="9" ht="16.5" spans="1:15">
      <c r="A9" s="25">
        <v>45203</v>
      </c>
      <c r="B9" s="293">
        <f t="shared" si="2"/>
        <v>0</v>
      </c>
      <c r="C9" s="293"/>
      <c r="D9" s="32"/>
      <c r="E9" s="39"/>
      <c r="F9" s="294"/>
      <c r="G9" s="295"/>
      <c r="H9" s="296"/>
      <c r="I9" s="329"/>
      <c r="J9" s="330"/>
      <c r="K9" s="419">
        <f t="shared" si="0"/>
        <v>0</v>
      </c>
      <c r="L9" s="332">
        <f t="shared" si="1"/>
        <v>0</v>
      </c>
      <c r="M9" s="93"/>
      <c r="N9" s="96"/>
      <c r="O9" s="98"/>
    </row>
    <row r="10" ht="16.5" spans="1:16">
      <c r="A10" s="25">
        <v>45204</v>
      </c>
      <c r="B10" s="293">
        <f t="shared" si="2"/>
        <v>0</v>
      </c>
      <c r="C10" s="293"/>
      <c r="D10" s="32"/>
      <c r="E10" s="39"/>
      <c r="F10" s="307"/>
      <c r="G10" s="296"/>
      <c r="H10" s="296"/>
      <c r="I10" s="340"/>
      <c r="J10" s="330"/>
      <c r="K10" s="419">
        <f t="shared" si="0"/>
        <v>0</v>
      </c>
      <c r="L10" s="332">
        <f t="shared" si="1"/>
        <v>0</v>
      </c>
      <c r="M10" s="93"/>
      <c r="N10" s="96"/>
      <c r="O10" s="98"/>
      <c r="P10" s="100"/>
    </row>
    <row r="11" ht="16.5" spans="1:15">
      <c r="A11" s="25">
        <v>45205</v>
      </c>
      <c r="B11" s="293">
        <f t="shared" si="2"/>
        <v>0</v>
      </c>
      <c r="C11" s="293"/>
      <c r="E11" s="39"/>
      <c r="F11" s="307"/>
      <c r="G11" s="296"/>
      <c r="H11" s="296"/>
      <c r="I11" s="340"/>
      <c r="J11" s="330"/>
      <c r="K11" s="419">
        <f t="shared" si="0"/>
        <v>0</v>
      </c>
      <c r="L11" s="332">
        <f t="shared" si="1"/>
        <v>0</v>
      </c>
      <c r="M11" s="93"/>
      <c r="N11" s="96"/>
      <c r="O11" s="98"/>
    </row>
    <row r="12" ht="16.5" spans="1:16">
      <c r="A12" s="25">
        <v>45206</v>
      </c>
      <c r="B12" s="293">
        <f t="shared" si="2"/>
        <v>0</v>
      </c>
      <c r="C12" s="135"/>
      <c r="D12" s="33"/>
      <c r="E12" s="36"/>
      <c r="F12" s="303"/>
      <c r="G12" s="304"/>
      <c r="H12" s="296"/>
      <c r="I12" s="340"/>
      <c r="J12" s="330"/>
      <c r="K12" s="419">
        <f t="shared" si="0"/>
        <v>0</v>
      </c>
      <c r="L12" s="332">
        <f t="shared" si="1"/>
        <v>0</v>
      </c>
      <c r="M12" s="93"/>
      <c r="N12" s="96"/>
      <c r="O12" s="98"/>
      <c r="P12" s="100"/>
    </row>
    <row r="13" ht="16.5" spans="1:16">
      <c r="A13" s="25">
        <v>45207</v>
      </c>
      <c r="B13" s="293">
        <f t="shared" si="2"/>
        <v>0</v>
      </c>
      <c r="C13" s="135"/>
      <c r="D13" s="33"/>
      <c r="E13" s="36"/>
      <c r="F13" s="303"/>
      <c r="G13" s="304"/>
      <c r="H13" s="296"/>
      <c r="I13" s="340"/>
      <c r="J13" s="330"/>
      <c r="K13" s="419">
        <f t="shared" si="0"/>
        <v>0</v>
      </c>
      <c r="L13" s="332">
        <f t="shared" si="1"/>
        <v>0</v>
      </c>
      <c r="M13" s="93"/>
      <c r="N13" s="96"/>
      <c r="O13" s="98"/>
      <c r="P13" s="100"/>
    </row>
    <row r="14" ht="16.5" spans="1:16">
      <c r="A14" s="25">
        <v>45208</v>
      </c>
      <c r="B14" s="293">
        <f t="shared" si="2"/>
        <v>0</v>
      </c>
      <c r="C14" s="135"/>
      <c r="D14" s="33"/>
      <c r="E14" s="36"/>
      <c r="F14" s="303"/>
      <c r="G14" s="304"/>
      <c r="H14" s="296"/>
      <c r="I14" s="340"/>
      <c r="J14" s="330"/>
      <c r="K14" s="419">
        <f t="shared" si="0"/>
        <v>0</v>
      </c>
      <c r="L14" s="332">
        <f t="shared" si="1"/>
        <v>0</v>
      </c>
      <c r="M14" s="93"/>
      <c r="N14" s="96"/>
      <c r="O14" s="98"/>
      <c r="P14" s="100"/>
    </row>
    <row r="15" ht="16.5" spans="1:15">
      <c r="A15" s="25">
        <v>45209</v>
      </c>
      <c r="B15" s="293">
        <f t="shared" si="2"/>
        <v>0</v>
      </c>
      <c r="C15" s="135"/>
      <c r="D15" s="33"/>
      <c r="E15" s="36"/>
      <c r="F15" s="303"/>
      <c r="G15" s="304"/>
      <c r="H15" s="296"/>
      <c r="I15" s="340"/>
      <c r="J15" s="330"/>
      <c r="K15" s="419">
        <f t="shared" si="0"/>
        <v>0</v>
      </c>
      <c r="L15" s="332">
        <f t="shared" si="1"/>
        <v>0</v>
      </c>
      <c r="M15" s="93"/>
      <c r="N15" s="96"/>
      <c r="O15" s="98"/>
    </row>
    <row r="16" ht="16.5" spans="1:15">
      <c r="A16" s="25">
        <v>45210</v>
      </c>
      <c r="B16" s="293">
        <f t="shared" si="2"/>
        <v>0</v>
      </c>
      <c r="C16" s="135"/>
      <c r="D16" s="33"/>
      <c r="E16" s="36"/>
      <c r="F16" s="303"/>
      <c r="G16" s="304"/>
      <c r="H16" s="296"/>
      <c r="I16" s="340"/>
      <c r="J16" s="330"/>
      <c r="K16" s="419">
        <f t="shared" si="0"/>
        <v>0</v>
      </c>
      <c r="L16" s="332">
        <f t="shared" si="1"/>
        <v>0</v>
      </c>
      <c r="M16" s="93"/>
      <c r="N16" s="96"/>
      <c r="O16" s="98"/>
    </row>
    <row r="17" ht="16.5" spans="1:15">
      <c r="A17" s="25">
        <v>45211</v>
      </c>
      <c r="B17" s="293">
        <f t="shared" si="2"/>
        <v>0</v>
      </c>
      <c r="C17" s="135"/>
      <c r="D17" s="33"/>
      <c r="E17" s="36"/>
      <c r="F17" s="303"/>
      <c r="G17" s="304"/>
      <c r="H17" s="296"/>
      <c r="I17" s="340"/>
      <c r="J17" s="330"/>
      <c r="K17" s="419">
        <f t="shared" si="0"/>
        <v>0</v>
      </c>
      <c r="L17" s="332">
        <f t="shared" si="1"/>
        <v>0</v>
      </c>
      <c r="M17" s="93"/>
      <c r="N17" s="96"/>
      <c r="O17" s="98"/>
    </row>
    <row r="18" ht="16.5" spans="1:16">
      <c r="A18" s="25">
        <v>45212</v>
      </c>
      <c r="B18" s="293">
        <f t="shared" si="2"/>
        <v>0</v>
      </c>
      <c r="C18" s="135"/>
      <c r="D18" s="33"/>
      <c r="E18" s="36"/>
      <c r="F18" s="303"/>
      <c r="G18" s="304"/>
      <c r="H18" s="296"/>
      <c r="I18" s="340"/>
      <c r="J18" s="330"/>
      <c r="K18" s="419">
        <f t="shared" si="0"/>
        <v>0</v>
      </c>
      <c r="L18" s="332">
        <f t="shared" si="1"/>
        <v>0</v>
      </c>
      <c r="M18" s="93"/>
      <c r="N18" s="96"/>
      <c r="O18" s="98"/>
      <c r="P18" s="100"/>
    </row>
    <row r="19" ht="16.5" spans="1:15">
      <c r="A19" s="25">
        <v>45213</v>
      </c>
      <c r="B19" s="293">
        <f t="shared" si="2"/>
        <v>0</v>
      </c>
      <c r="C19" s="135"/>
      <c r="D19" s="33"/>
      <c r="E19" s="36"/>
      <c r="F19" s="303"/>
      <c r="G19" s="304"/>
      <c r="H19" s="296"/>
      <c r="I19" s="340"/>
      <c r="J19" s="330"/>
      <c r="K19" s="419">
        <f t="shared" si="0"/>
        <v>0</v>
      </c>
      <c r="L19" s="332">
        <f t="shared" si="1"/>
        <v>0</v>
      </c>
      <c r="M19" s="93"/>
      <c r="N19" s="96"/>
      <c r="O19" s="98"/>
    </row>
    <row r="20" ht="16.5" spans="1:15">
      <c r="A20" s="25">
        <v>45214</v>
      </c>
      <c r="B20" s="293">
        <f t="shared" si="2"/>
        <v>0</v>
      </c>
      <c r="C20" s="135"/>
      <c r="D20" s="33"/>
      <c r="E20" s="36"/>
      <c r="F20" s="303"/>
      <c r="G20" s="304"/>
      <c r="H20" s="296"/>
      <c r="I20" s="340"/>
      <c r="J20" s="330"/>
      <c r="K20" s="419">
        <f t="shared" si="0"/>
        <v>0</v>
      </c>
      <c r="L20" s="332">
        <f t="shared" si="1"/>
        <v>0</v>
      </c>
      <c r="M20" s="93"/>
      <c r="N20" s="96"/>
      <c r="O20" s="98"/>
    </row>
    <row r="21" ht="16.5" spans="1:15">
      <c r="A21" s="25">
        <v>45215</v>
      </c>
      <c r="B21" s="293">
        <f t="shared" si="2"/>
        <v>0</v>
      </c>
      <c r="C21" s="135"/>
      <c r="D21" s="33"/>
      <c r="E21" s="36"/>
      <c r="F21" s="303"/>
      <c r="G21" s="304"/>
      <c r="H21" s="296"/>
      <c r="I21" s="340"/>
      <c r="J21" s="330"/>
      <c r="K21" s="419">
        <f t="shared" si="0"/>
        <v>0</v>
      </c>
      <c r="L21" s="332">
        <f t="shared" si="1"/>
        <v>0</v>
      </c>
      <c r="M21" s="93"/>
      <c r="N21" s="96"/>
      <c r="O21" s="98"/>
    </row>
    <row r="22" ht="16.5" spans="1:15">
      <c r="A22" s="25">
        <v>45216</v>
      </c>
      <c r="B22" s="293">
        <f t="shared" si="2"/>
        <v>0</v>
      </c>
      <c r="C22" s="135"/>
      <c r="D22" s="33"/>
      <c r="E22" s="36"/>
      <c r="F22" s="303"/>
      <c r="G22" s="304"/>
      <c r="H22" s="296"/>
      <c r="I22" s="340"/>
      <c r="J22" s="330"/>
      <c r="K22" s="419">
        <f t="shared" si="0"/>
        <v>0</v>
      </c>
      <c r="L22" s="332">
        <f t="shared" si="1"/>
        <v>0</v>
      </c>
      <c r="M22" s="93"/>
      <c r="N22" s="96"/>
      <c r="O22" s="98"/>
    </row>
    <row r="23" ht="16.5" spans="1:15">
      <c r="A23" s="25">
        <v>45217</v>
      </c>
      <c r="B23" s="293">
        <f t="shared" si="2"/>
        <v>0</v>
      </c>
      <c r="C23" s="135"/>
      <c r="D23" s="33"/>
      <c r="E23" s="36"/>
      <c r="F23" s="303"/>
      <c r="G23" s="304"/>
      <c r="H23" s="296"/>
      <c r="I23" s="340"/>
      <c r="J23" s="330"/>
      <c r="K23" s="419">
        <f t="shared" si="0"/>
        <v>0</v>
      </c>
      <c r="L23" s="332">
        <f t="shared" si="1"/>
        <v>0</v>
      </c>
      <c r="M23" s="93"/>
      <c r="N23" s="101"/>
      <c r="O23" s="98"/>
    </row>
    <row r="24" ht="16.5" spans="1:15">
      <c r="A24" s="25">
        <v>45218</v>
      </c>
      <c r="B24" s="293">
        <f t="shared" si="2"/>
        <v>0</v>
      </c>
      <c r="C24" s="135"/>
      <c r="D24" s="33"/>
      <c r="E24" s="36"/>
      <c r="F24" s="303"/>
      <c r="G24" s="304"/>
      <c r="H24" s="296"/>
      <c r="I24" s="340"/>
      <c r="J24" s="330"/>
      <c r="K24" s="419">
        <f t="shared" si="0"/>
        <v>0</v>
      </c>
      <c r="L24" s="332">
        <f t="shared" si="1"/>
        <v>0</v>
      </c>
      <c r="M24" s="93"/>
      <c r="N24" s="96"/>
      <c r="O24" s="98"/>
    </row>
    <row r="25" ht="16.5" spans="1:15">
      <c r="A25" s="25">
        <v>45219</v>
      </c>
      <c r="B25" s="293">
        <f t="shared" si="2"/>
        <v>0</v>
      </c>
      <c r="C25" s="293"/>
      <c r="D25" s="32"/>
      <c r="E25" s="39"/>
      <c r="F25" s="307"/>
      <c r="G25" s="296"/>
      <c r="H25" s="296"/>
      <c r="I25" s="340"/>
      <c r="J25" s="330"/>
      <c r="K25" s="419">
        <f t="shared" si="0"/>
        <v>0</v>
      </c>
      <c r="L25" s="332">
        <f t="shared" si="1"/>
        <v>0</v>
      </c>
      <c r="M25" s="93"/>
      <c r="N25" s="96"/>
      <c r="O25" s="98"/>
    </row>
    <row r="26" ht="16.5" spans="1:15">
      <c r="A26" s="25">
        <v>45220</v>
      </c>
      <c r="B26" s="293">
        <f t="shared" si="2"/>
        <v>0</v>
      </c>
      <c r="C26" s="293"/>
      <c r="D26" s="32"/>
      <c r="E26" s="39"/>
      <c r="F26" s="307"/>
      <c r="G26" s="296"/>
      <c r="H26" s="296"/>
      <c r="I26" s="340"/>
      <c r="J26" s="330"/>
      <c r="K26" s="419">
        <f t="shared" si="0"/>
        <v>0</v>
      </c>
      <c r="L26" s="332">
        <f t="shared" si="1"/>
        <v>0</v>
      </c>
      <c r="M26" s="93"/>
      <c r="N26" s="96"/>
      <c r="O26" s="98"/>
    </row>
    <row r="27" ht="16.5" spans="1:16">
      <c r="A27" s="25">
        <v>45221</v>
      </c>
      <c r="B27" s="293">
        <f t="shared" si="2"/>
        <v>0</v>
      </c>
      <c r="C27" s="293"/>
      <c r="D27" s="32"/>
      <c r="E27" s="39"/>
      <c r="F27" s="307"/>
      <c r="G27" s="296"/>
      <c r="H27" s="296"/>
      <c r="I27" s="340"/>
      <c r="J27" s="330"/>
      <c r="K27" s="419">
        <f t="shared" si="0"/>
        <v>0</v>
      </c>
      <c r="L27" s="332">
        <f t="shared" si="1"/>
        <v>0</v>
      </c>
      <c r="M27" s="93"/>
      <c r="N27" s="96"/>
      <c r="O27" s="98"/>
      <c r="P27" s="100"/>
    </row>
    <row r="28" ht="16.5" spans="1:16">
      <c r="A28" s="25">
        <v>45222</v>
      </c>
      <c r="B28" s="293">
        <f t="shared" si="2"/>
        <v>0</v>
      </c>
      <c r="C28" s="293"/>
      <c r="D28" s="32"/>
      <c r="E28" s="32"/>
      <c r="F28" s="307"/>
      <c r="G28" s="296"/>
      <c r="H28" s="296"/>
      <c r="I28" s="329"/>
      <c r="J28" s="330"/>
      <c r="K28" s="419">
        <f t="shared" si="0"/>
        <v>0</v>
      </c>
      <c r="L28" s="332">
        <f t="shared" si="1"/>
        <v>0</v>
      </c>
      <c r="M28" s="93"/>
      <c r="N28" s="96"/>
      <c r="O28" s="98"/>
      <c r="P28" s="435"/>
    </row>
    <row r="29" ht="16.5" spans="1:15">
      <c r="A29" s="25">
        <v>45223</v>
      </c>
      <c r="B29" s="293">
        <f t="shared" si="2"/>
        <v>0</v>
      </c>
      <c r="C29" s="293"/>
      <c r="D29" s="32"/>
      <c r="E29" s="39"/>
      <c r="F29" s="307"/>
      <c r="G29" s="296"/>
      <c r="H29" s="296"/>
      <c r="I29" s="340"/>
      <c r="J29" s="330"/>
      <c r="K29" s="419">
        <f t="shared" si="0"/>
        <v>0</v>
      </c>
      <c r="L29" s="332">
        <f t="shared" si="1"/>
        <v>0</v>
      </c>
      <c r="M29" s="93"/>
      <c r="N29" s="96"/>
      <c r="O29" s="98"/>
    </row>
    <row r="30" ht="16.5" spans="1:15">
      <c r="A30" s="25">
        <v>45224</v>
      </c>
      <c r="B30" s="293">
        <f t="shared" si="2"/>
        <v>0</v>
      </c>
      <c r="C30" s="293"/>
      <c r="D30" s="32"/>
      <c r="E30" s="39"/>
      <c r="F30" s="307"/>
      <c r="G30" s="296"/>
      <c r="H30" s="296"/>
      <c r="I30" s="340"/>
      <c r="J30" s="330"/>
      <c r="K30" s="419">
        <f t="shared" si="0"/>
        <v>0</v>
      </c>
      <c r="L30" s="332">
        <f t="shared" si="1"/>
        <v>0</v>
      </c>
      <c r="M30" s="93"/>
      <c r="N30" s="96"/>
      <c r="O30" s="98"/>
    </row>
    <row r="31" ht="16.5" spans="1:15">
      <c r="A31" s="25">
        <v>45225</v>
      </c>
      <c r="B31" s="293">
        <f t="shared" si="2"/>
        <v>0</v>
      </c>
      <c r="C31" s="308"/>
      <c r="D31" s="32"/>
      <c r="E31" s="39"/>
      <c r="F31" s="307"/>
      <c r="G31" s="296"/>
      <c r="H31" s="296"/>
      <c r="I31" s="340"/>
      <c r="J31" s="330"/>
      <c r="K31" s="419">
        <f t="shared" si="0"/>
        <v>0</v>
      </c>
      <c r="L31" s="332">
        <f t="shared" si="1"/>
        <v>0</v>
      </c>
      <c r="M31" s="93"/>
      <c r="N31" s="96"/>
      <c r="O31" s="98"/>
    </row>
    <row r="32" ht="16.5" spans="1:15">
      <c r="A32" s="25">
        <v>45226</v>
      </c>
      <c r="B32" s="293">
        <f t="shared" si="2"/>
        <v>0</v>
      </c>
      <c r="C32" s="434"/>
      <c r="D32" s="32"/>
      <c r="E32" s="39"/>
      <c r="F32" s="307"/>
      <c r="G32" s="296"/>
      <c r="H32" s="296"/>
      <c r="I32" s="340"/>
      <c r="J32" s="330"/>
      <c r="K32" s="419">
        <f t="shared" si="0"/>
        <v>0</v>
      </c>
      <c r="L32" s="332">
        <f t="shared" si="1"/>
        <v>0</v>
      </c>
      <c r="M32" s="93"/>
      <c r="N32" s="96"/>
      <c r="O32" s="98"/>
    </row>
    <row r="33" ht="16.5" spans="1:16">
      <c r="A33" s="25">
        <v>45227</v>
      </c>
      <c r="B33" s="293">
        <f t="shared" si="2"/>
        <v>0</v>
      </c>
      <c r="C33" s="434"/>
      <c r="D33" s="32"/>
      <c r="E33" s="39"/>
      <c r="F33" s="307"/>
      <c r="G33" s="296"/>
      <c r="H33" s="296"/>
      <c r="I33" s="340"/>
      <c r="J33" s="330"/>
      <c r="K33" s="419">
        <f t="shared" si="0"/>
        <v>0</v>
      </c>
      <c r="L33" s="332">
        <f t="shared" si="1"/>
        <v>0</v>
      </c>
      <c r="M33" s="93"/>
      <c r="N33" s="96"/>
      <c r="O33" s="98"/>
      <c r="P33" s="168"/>
    </row>
    <row r="34" s="1" customFormat="1" ht="16.5" spans="1:16">
      <c r="A34" s="25">
        <v>45228</v>
      </c>
      <c r="B34" s="293">
        <f t="shared" si="2"/>
        <v>0</v>
      </c>
      <c r="C34" s="434"/>
      <c r="D34" s="32"/>
      <c r="E34" s="39"/>
      <c r="F34" s="307"/>
      <c r="G34" s="296"/>
      <c r="H34" s="296"/>
      <c r="I34" s="340"/>
      <c r="J34" s="330"/>
      <c r="K34" s="419">
        <f t="shared" si="0"/>
        <v>0</v>
      </c>
      <c r="L34" s="332">
        <f t="shared" si="1"/>
        <v>0</v>
      </c>
      <c r="M34" s="93"/>
      <c r="N34" s="96"/>
      <c r="O34" s="102"/>
      <c r="P34" s="117"/>
    </row>
    <row r="35" ht="16.5" spans="1:16">
      <c r="A35" s="25">
        <v>45229</v>
      </c>
      <c r="B35" s="293">
        <f t="shared" si="2"/>
        <v>0</v>
      </c>
      <c r="C35" s="434"/>
      <c r="D35" s="32"/>
      <c r="E35" s="39"/>
      <c r="F35" s="307"/>
      <c r="G35" s="296"/>
      <c r="H35" s="296"/>
      <c r="I35" s="329"/>
      <c r="J35" s="330"/>
      <c r="K35" s="419">
        <f t="shared" si="0"/>
        <v>0</v>
      </c>
      <c r="L35" s="332">
        <f t="shared" si="1"/>
        <v>0</v>
      </c>
      <c r="M35" s="93"/>
      <c r="N35" s="96"/>
      <c r="O35" s="98"/>
      <c r="P35" s="116"/>
    </row>
    <row r="36" ht="18" customHeight="1" spans="1:16">
      <c r="A36" s="25">
        <v>45230</v>
      </c>
      <c r="B36" s="293">
        <f t="shared" si="2"/>
        <v>0</v>
      </c>
      <c r="C36" s="432"/>
      <c r="D36" s="27"/>
      <c r="E36" s="27"/>
      <c r="F36" s="294"/>
      <c r="G36" s="295"/>
      <c r="H36" s="296"/>
      <c r="I36" s="329"/>
      <c r="J36" s="341"/>
      <c r="K36" s="419">
        <f t="shared" si="0"/>
        <v>0</v>
      </c>
      <c r="L36" s="332">
        <f t="shared" si="1"/>
        <v>0</v>
      </c>
      <c r="M36" s="104"/>
      <c r="N36" s="96"/>
      <c r="O36" s="105"/>
      <c r="P36" s="116"/>
    </row>
    <row r="37" ht="15" spans="1:16">
      <c r="A37" s="43"/>
      <c r="B37" s="310"/>
      <c r="C37" s="311">
        <f t="shared" ref="C37:K37" si="3">SUM(C5:C36)</f>
        <v>0</v>
      </c>
      <c r="D37" s="46">
        <f t="shared" si="3"/>
        <v>0</v>
      </c>
      <c r="E37" s="47">
        <f t="shared" si="3"/>
        <v>0</v>
      </c>
      <c r="F37" s="312">
        <f t="shared" si="3"/>
        <v>0</v>
      </c>
      <c r="G37" s="313">
        <f t="shared" si="3"/>
        <v>0</v>
      </c>
      <c r="H37" s="314">
        <f t="shared" si="3"/>
        <v>0</v>
      </c>
      <c r="I37" s="313">
        <f t="shared" si="3"/>
        <v>0</v>
      </c>
      <c r="J37" s="313"/>
      <c r="K37" s="428">
        <f t="shared" si="3"/>
        <v>0</v>
      </c>
      <c r="L37" s="429">
        <f>SUM(B5+C37-D37-E37-K37)</f>
        <v>0</v>
      </c>
      <c r="M37" s="429"/>
      <c r="N37" s="108"/>
      <c r="O37" s="109"/>
      <c r="P37" s="116"/>
    </row>
    <row r="39" ht="17.25" spans="1:13">
      <c r="A39" s="50" t="s">
        <v>20</v>
      </c>
      <c r="B39" s="51"/>
      <c r="C39" s="52" t="s">
        <v>21</v>
      </c>
      <c r="D39" s="53" t="s">
        <v>22</v>
      </c>
      <c r="E39" s="3"/>
      <c r="F39" s="3"/>
      <c r="G39" s="3"/>
      <c r="H39" s="50" t="s">
        <v>23</v>
      </c>
      <c r="I39" s="59" t="s">
        <v>24</v>
      </c>
      <c r="J39" s="3"/>
      <c r="K39" s="50" t="s">
        <v>25</v>
      </c>
      <c r="L39" s="3"/>
      <c r="M39" s="3"/>
    </row>
    <row r="40" ht="17.25" spans="1:13">
      <c r="A40" s="50"/>
      <c r="B40" s="51"/>
      <c r="C40" s="52"/>
      <c r="D40" s="53"/>
      <c r="E40" s="3"/>
      <c r="F40" s="3"/>
      <c r="G40" s="3"/>
      <c r="H40" s="50"/>
      <c r="I40" s="59"/>
      <c r="J40" s="3"/>
      <c r="K40" s="110" t="s">
        <v>44</v>
      </c>
      <c r="L40" s="111">
        <f>L37</f>
        <v>0</v>
      </c>
      <c r="M40" s="112" t="s">
        <v>27</v>
      </c>
    </row>
    <row r="41" ht="16.5" spans="1:13">
      <c r="A41" s="50"/>
      <c r="B41" s="51"/>
      <c r="C41" s="52"/>
      <c r="D41" s="53"/>
      <c r="E41" s="3"/>
      <c r="F41" s="3"/>
      <c r="G41" s="3"/>
      <c r="H41" s="50"/>
      <c r="I41" s="59"/>
      <c r="J41" s="3"/>
      <c r="K41" s="50"/>
      <c r="L41" s="3"/>
      <c r="M41" s="3"/>
    </row>
    <row r="42" ht="15" spans="9:13">
      <c r="I42" s="430"/>
      <c r="J42" s="430"/>
      <c r="K42" s="113" t="s">
        <v>28</v>
      </c>
      <c r="L42" s="115"/>
      <c r="M42" s="349"/>
    </row>
    <row r="43" spans="1:9">
      <c r="A43" s="55" t="s">
        <v>29</v>
      </c>
      <c r="B43" s="56" t="s">
        <v>30</v>
      </c>
      <c r="C43" s="57"/>
      <c r="D43" s="58"/>
      <c r="E43" s="3"/>
      <c r="F43" s="3"/>
      <c r="G43" s="3"/>
      <c r="H43" s="3"/>
      <c r="I43" s="3"/>
    </row>
    <row r="44" spans="1:9">
      <c r="A44" s="59" t="s">
        <v>31</v>
      </c>
      <c r="B44" s="60" t="s">
        <v>32</v>
      </c>
      <c r="C44" s="61" t="e">
        <f>(C37+B5)/C43</f>
        <v>#DIV/0!</v>
      </c>
      <c r="D44" s="58"/>
      <c r="E44" s="3"/>
      <c r="F44" s="3"/>
      <c r="G44" s="3"/>
      <c r="H44" s="3"/>
      <c r="I44" s="3"/>
    </row>
    <row r="45" spans="1:9">
      <c r="A45" s="59" t="s">
        <v>33</v>
      </c>
      <c r="B45" s="60" t="s">
        <v>34</v>
      </c>
      <c r="C45" s="61" t="e">
        <f>(B5+C37-D37)/C43</f>
        <v>#DIV/0!</v>
      </c>
      <c r="D45" s="58"/>
      <c r="E45" s="3"/>
      <c r="F45" s="3"/>
      <c r="G45" s="3"/>
      <c r="H45" s="3"/>
      <c r="I45" s="3"/>
    </row>
    <row r="46" ht="15" spans="1:9">
      <c r="A46" s="59" t="s">
        <v>23</v>
      </c>
      <c r="B46" s="60" t="s">
        <v>35</v>
      </c>
      <c r="C46" s="61" t="e">
        <f>H37/C43</f>
        <v>#DIV/0!</v>
      </c>
      <c r="D46" s="62" t="s">
        <v>36</v>
      </c>
      <c r="E46" s="62"/>
      <c r="F46" s="63"/>
      <c r="G46" s="64"/>
      <c r="H46" s="3" t="s">
        <v>37</v>
      </c>
      <c r="I46" s="3"/>
    </row>
    <row r="47" ht="17.25" spans="1:9">
      <c r="A47" s="59" t="s">
        <v>25</v>
      </c>
      <c r="B47" s="60" t="s">
        <v>38</v>
      </c>
      <c r="C47" s="61" t="e">
        <f>(K37)/C43</f>
        <v>#DIV/0!</v>
      </c>
      <c r="D47" s="65" t="s">
        <v>39</v>
      </c>
      <c r="E47" s="66" t="e">
        <f>(C45-C47)</f>
        <v>#DIV/0!</v>
      </c>
      <c r="F47" s="67"/>
      <c r="G47" s="3"/>
      <c r="H47" s="3"/>
      <c r="I47" s="3"/>
    </row>
    <row r="48" ht="17.25" spans="1:9">
      <c r="A48" s="59" t="s">
        <v>24</v>
      </c>
      <c r="B48" s="68" t="s">
        <v>40</v>
      </c>
      <c r="C48" s="69" t="e">
        <f>(I37/H37)</f>
        <v>#DIV/0!</v>
      </c>
      <c r="D48" s="70" t="s">
        <v>39</v>
      </c>
      <c r="E48" s="71" t="e">
        <f>E47/C45</f>
        <v>#DIV/0!</v>
      </c>
      <c r="F48" s="3"/>
      <c r="G48" s="3"/>
      <c r="H48" s="3"/>
      <c r="I48" s="3"/>
    </row>
  </sheetData>
  <mergeCells count="12">
    <mergeCell ref="A1:O1"/>
    <mergeCell ref="F3:I3"/>
    <mergeCell ref="A3:A4"/>
    <mergeCell ref="B3:B4"/>
    <mergeCell ref="C3:C4"/>
    <mergeCell ref="D3:D4"/>
    <mergeCell ref="E3:E4"/>
    <mergeCell ref="K3:K4"/>
    <mergeCell ref="L3:L4"/>
    <mergeCell ref="M3:M4"/>
    <mergeCell ref="N3:N4"/>
    <mergeCell ref="O3:O5"/>
  </mergeCells>
  <pageMargins left="0.7" right="0.7" top="0.75" bottom="0.75" header="0.3" footer="0.3"/>
  <pageSetup paperSize="9" orientation="portrait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workbookViewId="0">
      <selection activeCell="A2" sqref="A2"/>
    </sheetView>
  </sheetViews>
  <sheetFormatPr defaultColWidth="10.4416666666667" defaultRowHeight="14.25"/>
  <cols>
    <col min="1" max="1" width="12.3333333333333" style="2" customWidth="1"/>
    <col min="2" max="2" width="18.6666666666667" style="2" customWidth="1"/>
    <col min="3" max="3" width="13" style="2" customWidth="1"/>
    <col min="4" max="4" width="10.4416666666667" style="4"/>
    <col min="5" max="8" width="10.4416666666667" style="2"/>
    <col min="9" max="9" width="12.3333333333333" style="2" customWidth="1"/>
    <col min="10" max="10" width="14.6666666666667" style="2" customWidth="1"/>
    <col min="11" max="11" width="16.775" style="2" customWidth="1"/>
    <col min="12" max="13" width="12.4416666666667" style="2" customWidth="1"/>
    <col min="14" max="14" width="14.775" style="5" customWidth="1"/>
    <col min="15" max="15" width="26.8833333333333" style="6" customWidth="1"/>
    <col min="16" max="16384" width="10.4416666666667" style="2"/>
  </cols>
  <sheetData>
    <row r="1" ht="30" spans="1:15">
      <c r="A1" s="7" t="s">
        <v>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0.25" spans="1:12">
      <c r="A2" s="233" t="s">
        <v>1</v>
      </c>
      <c r="L2" s="2" t="s">
        <v>2</v>
      </c>
    </row>
    <row r="3" spans="1:15">
      <c r="A3" s="9" t="s">
        <v>3</v>
      </c>
      <c r="B3" s="282" t="s">
        <v>4</v>
      </c>
      <c r="C3" s="283" t="s">
        <v>5</v>
      </c>
      <c r="D3" s="9" t="s">
        <v>6</v>
      </c>
      <c r="E3" s="9" t="s">
        <v>7</v>
      </c>
      <c r="F3" s="22" t="s">
        <v>8</v>
      </c>
      <c r="G3" s="284"/>
      <c r="H3" s="284"/>
      <c r="I3" s="284"/>
      <c r="J3" s="317"/>
      <c r="K3" s="318" t="s">
        <v>9</v>
      </c>
      <c r="L3" s="9" t="s">
        <v>10</v>
      </c>
      <c r="M3" s="9" t="s">
        <v>11</v>
      </c>
      <c r="N3" s="75" t="s">
        <v>12</v>
      </c>
      <c r="O3" s="76" t="s">
        <v>13</v>
      </c>
    </row>
    <row r="4" ht="15" spans="1:15">
      <c r="A4" s="14"/>
      <c r="B4" s="285"/>
      <c r="C4" s="286"/>
      <c r="D4" s="14"/>
      <c r="E4" s="14"/>
      <c r="F4" s="287" t="s">
        <v>14</v>
      </c>
      <c r="G4" s="288" t="s">
        <v>15</v>
      </c>
      <c r="H4" s="288" t="s">
        <v>16</v>
      </c>
      <c r="I4" s="320" t="s">
        <v>17</v>
      </c>
      <c r="J4" s="321" t="s">
        <v>18</v>
      </c>
      <c r="K4" s="322"/>
      <c r="L4" s="14"/>
      <c r="M4" s="14"/>
      <c r="N4" s="81"/>
      <c r="O4" s="82"/>
    </row>
    <row r="5" ht="15" spans="1:15">
      <c r="A5" s="19" t="s">
        <v>19</v>
      </c>
      <c r="B5" s="431"/>
      <c r="C5" s="290"/>
      <c r="D5" s="22"/>
      <c r="E5" s="22"/>
      <c r="F5" s="291"/>
      <c r="G5" s="292"/>
      <c r="H5" s="292"/>
      <c r="I5" s="324"/>
      <c r="J5" s="317"/>
      <c r="K5" s="417"/>
      <c r="L5" s="326">
        <f>SUM(V4)</f>
        <v>0</v>
      </c>
      <c r="M5" s="86"/>
      <c r="N5" s="87"/>
      <c r="O5" s="88"/>
    </row>
    <row r="6" ht="16.5" spans="1:15">
      <c r="A6" s="25">
        <v>45170</v>
      </c>
      <c r="B6" s="293">
        <f>B5</f>
        <v>0</v>
      </c>
      <c r="C6" s="135"/>
      <c r="D6" s="142"/>
      <c r="E6" s="142"/>
      <c r="F6" s="407"/>
      <c r="G6" s="408"/>
      <c r="H6" s="304"/>
      <c r="I6" s="339"/>
      <c r="J6" s="418"/>
      <c r="K6" s="419">
        <f>SUM(H6+I6)</f>
        <v>0</v>
      </c>
      <c r="L6" s="332">
        <f>B6+C6-D6-E6-K6</f>
        <v>0</v>
      </c>
      <c r="M6" s="93"/>
      <c r="N6" s="94"/>
      <c r="O6" s="95"/>
    </row>
    <row r="7" ht="16.5" spans="1:15">
      <c r="A7" s="25">
        <v>45171</v>
      </c>
      <c r="B7" s="293">
        <f>SUM(L6)</f>
        <v>0</v>
      </c>
      <c r="C7" s="135"/>
      <c r="D7" s="145"/>
      <c r="E7" s="145"/>
      <c r="F7" s="407"/>
      <c r="G7" s="408"/>
      <c r="H7" s="304"/>
      <c r="I7" s="339"/>
      <c r="J7" s="418"/>
      <c r="K7" s="419">
        <f>SUM(H7+I7)</f>
        <v>0</v>
      </c>
      <c r="L7" s="332">
        <f t="shared" ref="L7:L35" si="0">B7+C7-D7-E7-K7</f>
        <v>0</v>
      </c>
      <c r="M7" s="93"/>
      <c r="N7" s="96"/>
      <c r="O7" s="97"/>
    </row>
    <row r="8" ht="16.5" spans="1:15">
      <c r="A8" s="25">
        <v>45172</v>
      </c>
      <c r="B8" s="293">
        <f t="shared" ref="B8:B35" si="1">SUM(L7)</f>
        <v>0</v>
      </c>
      <c r="C8" s="135"/>
      <c r="D8" s="145"/>
      <c r="E8" s="145"/>
      <c r="F8" s="407"/>
      <c r="G8" s="408"/>
      <c r="H8" s="304"/>
      <c r="I8" s="339"/>
      <c r="J8" s="418"/>
      <c r="K8" s="419">
        <f t="shared" ref="K8:K35" si="2">SUM(H8+I8)</f>
        <v>0</v>
      </c>
      <c r="L8" s="332">
        <f t="shared" si="0"/>
        <v>0</v>
      </c>
      <c r="M8" s="93"/>
      <c r="N8" s="96"/>
      <c r="O8" s="98"/>
    </row>
    <row r="9" ht="16.5" spans="1:15">
      <c r="A9" s="25">
        <v>45173</v>
      </c>
      <c r="B9" s="293">
        <f t="shared" si="1"/>
        <v>0</v>
      </c>
      <c r="C9" s="135"/>
      <c r="D9" s="33"/>
      <c r="E9" s="33"/>
      <c r="F9" s="407"/>
      <c r="G9" s="408"/>
      <c r="H9" s="304"/>
      <c r="I9" s="339"/>
      <c r="J9" s="418"/>
      <c r="K9" s="419">
        <f t="shared" si="2"/>
        <v>0</v>
      </c>
      <c r="L9" s="332">
        <f t="shared" si="0"/>
        <v>0</v>
      </c>
      <c r="M9" s="93"/>
      <c r="N9" s="96"/>
      <c r="O9" s="98"/>
    </row>
    <row r="10" ht="16.5" spans="1:16">
      <c r="A10" s="25">
        <v>45174</v>
      </c>
      <c r="B10" s="293">
        <f t="shared" si="1"/>
        <v>0</v>
      </c>
      <c r="C10" s="135"/>
      <c r="D10" s="33"/>
      <c r="E10" s="33"/>
      <c r="F10" s="303"/>
      <c r="G10" s="304"/>
      <c r="H10" s="304"/>
      <c r="I10" s="338"/>
      <c r="J10" s="418"/>
      <c r="K10" s="419">
        <f t="shared" si="2"/>
        <v>0</v>
      </c>
      <c r="L10" s="332">
        <f t="shared" si="0"/>
        <v>0</v>
      </c>
      <c r="M10" s="93"/>
      <c r="N10" s="96"/>
      <c r="O10" s="98"/>
      <c r="P10" s="100"/>
    </row>
    <row r="11" ht="16.5" spans="1:15">
      <c r="A11" s="25">
        <v>45175</v>
      </c>
      <c r="B11" s="293">
        <f t="shared" si="1"/>
        <v>0</v>
      </c>
      <c r="C11" s="135"/>
      <c r="D11" s="119"/>
      <c r="E11" s="33"/>
      <c r="F11" s="303"/>
      <c r="G11" s="304"/>
      <c r="H11" s="304"/>
      <c r="I11" s="338"/>
      <c r="J11" s="418"/>
      <c r="K11" s="419">
        <f t="shared" si="2"/>
        <v>0</v>
      </c>
      <c r="L11" s="332">
        <f t="shared" si="0"/>
        <v>0</v>
      </c>
      <c r="M11" s="93"/>
      <c r="N11" s="96"/>
      <c r="O11" s="98"/>
    </row>
    <row r="12" ht="16.5" spans="1:15">
      <c r="A12" s="25">
        <v>45176</v>
      </c>
      <c r="B12" s="293">
        <f t="shared" si="1"/>
        <v>0</v>
      </c>
      <c r="C12" s="135"/>
      <c r="D12" s="33"/>
      <c r="E12" s="33"/>
      <c r="F12" s="303"/>
      <c r="G12" s="304"/>
      <c r="H12" s="304"/>
      <c r="I12" s="338"/>
      <c r="J12" s="418"/>
      <c r="K12" s="419">
        <f t="shared" si="2"/>
        <v>0</v>
      </c>
      <c r="L12" s="332">
        <f t="shared" si="0"/>
        <v>0</v>
      </c>
      <c r="M12" s="93"/>
      <c r="N12" s="96"/>
      <c r="O12" s="98"/>
    </row>
    <row r="13" ht="16.5" spans="1:15">
      <c r="A13" s="25">
        <v>45177</v>
      </c>
      <c r="B13" s="293">
        <f t="shared" si="1"/>
        <v>0</v>
      </c>
      <c r="C13" s="135"/>
      <c r="D13" s="33"/>
      <c r="E13" s="33"/>
      <c r="F13" s="303"/>
      <c r="G13" s="304"/>
      <c r="H13" s="304"/>
      <c r="I13" s="338"/>
      <c r="J13" s="418"/>
      <c r="K13" s="419">
        <f t="shared" si="2"/>
        <v>0</v>
      </c>
      <c r="L13" s="332">
        <f t="shared" si="0"/>
        <v>0</v>
      </c>
      <c r="M13" s="93"/>
      <c r="N13" s="96"/>
      <c r="O13" s="98"/>
    </row>
    <row r="14" ht="16.5" spans="1:15">
      <c r="A14" s="25">
        <v>45178</v>
      </c>
      <c r="B14" s="293">
        <f t="shared" si="1"/>
        <v>0</v>
      </c>
      <c r="C14" s="135"/>
      <c r="D14" s="33"/>
      <c r="E14" s="33"/>
      <c r="F14" s="303"/>
      <c r="G14" s="304"/>
      <c r="H14" s="304"/>
      <c r="I14" s="338"/>
      <c r="J14" s="418"/>
      <c r="K14" s="419">
        <f t="shared" si="2"/>
        <v>0</v>
      </c>
      <c r="L14" s="332">
        <f t="shared" si="0"/>
        <v>0</v>
      </c>
      <c r="M14" s="93"/>
      <c r="N14" s="96"/>
      <c r="O14" s="433"/>
    </row>
    <row r="15" ht="16.5" spans="1:15">
      <c r="A15" s="25">
        <v>45179</v>
      </c>
      <c r="B15" s="293">
        <f t="shared" si="1"/>
        <v>0</v>
      </c>
      <c r="C15" s="135"/>
      <c r="D15" s="33"/>
      <c r="E15" s="33"/>
      <c r="F15" s="303"/>
      <c r="G15" s="304"/>
      <c r="H15" s="304"/>
      <c r="I15" s="338"/>
      <c r="J15" s="418"/>
      <c r="K15" s="419">
        <f t="shared" si="2"/>
        <v>0</v>
      </c>
      <c r="L15" s="332">
        <f t="shared" si="0"/>
        <v>0</v>
      </c>
      <c r="M15" s="93"/>
      <c r="N15" s="96"/>
      <c r="O15" s="98"/>
    </row>
    <row r="16" ht="16.5" spans="1:15">
      <c r="A16" s="25">
        <v>45180</v>
      </c>
      <c r="B16" s="293">
        <f t="shared" si="1"/>
        <v>0</v>
      </c>
      <c r="C16" s="135"/>
      <c r="D16" s="33"/>
      <c r="E16" s="33"/>
      <c r="F16" s="303"/>
      <c r="G16" s="304"/>
      <c r="H16" s="304"/>
      <c r="I16" s="338"/>
      <c r="J16" s="418"/>
      <c r="K16" s="419">
        <f t="shared" si="2"/>
        <v>0</v>
      </c>
      <c r="L16" s="332">
        <f t="shared" si="0"/>
        <v>0</v>
      </c>
      <c r="M16" s="93"/>
      <c r="N16" s="96"/>
      <c r="O16" s="98"/>
    </row>
    <row r="17" ht="16.5" spans="1:15">
      <c r="A17" s="25">
        <v>45181</v>
      </c>
      <c r="B17" s="293">
        <f t="shared" si="1"/>
        <v>0</v>
      </c>
      <c r="C17" s="135"/>
      <c r="D17" s="33"/>
      <c r="E17" s="33"/>
      <c r="F17" s="303"/>
      <c r="G17" s="304"/>
      <c r="H17" s="304"/>
      <c r="I17" s="338"/>
      <c r="J17" s="418"/>
      <c r="K17" s="419">
        <f t="shared" si="2"/>
        <v>0</v>
      </c>
      <c r="L17" s="332">
        <f t="shared" si="0"/>
        <v>0</v>
      </c>
      <c r="M17" s="93"/>
      <c r="N17" s="96"/>
      <c r="O17" s="98"/>
    </row>
    <row r="18" ht="16.5" spans="1:16">
      <c r="A18" s="25">
        <v>45182</v>
      </c>
      <c r="B18" s="293">
        <f t="shared" si="1"/>
        <v>0</v>
      </c>
      <c r="C18" s="135"/>
      <c r="D18" s="33"/>
      <c r="E18" s="33"/>
      <c r="F18" s="303"/>
      <c r="G18" s="304"/>
      <c r="H18" s="304"/>
      <c r="I18" s="338"/>
      <c r="J18" s="418"/>
      <c r="K18" s="419">
        <f t="shared" si="2"/>
        <v>0</v>
      </c>
      <c r="L18" s="332">
        <f t="shared" si="0"/>
        <v>0</v>
      </c>
      <c r="M18" s="93"/>
      <c r="N18" s="96"/>
      <c r="O18" s="98"/>
      <c r="P18" s="100"/>
    </row>
    <row r="19" ht="16.5" spans="1:15">
      <c r="A19" s="25">
        <v>45183</v>
      </c>
      <c r="B19" s="293">
        <f t="shared" si="1"/>
        <v>0</v>
      </c>
      <c r="C19" s="135"/>
      <c r="D19" s="33"/>
      <c r="E19" s="33"/>
      <c r="F19" s="303"/>
      <c r="G19" s="304"/>
      <c r="H19" s="304"/>
      <c r="I19" s="338"/>
      <c r="J19" s="418"/>
      <c r="K19" s="419">
        <f t="shared" si="2"/>
        <v>0</v>
      </c>
      <c r="L19" s="332">
        <f t="shared" si="0"/>
        <v>0</v>
      </c>
      <c r="M19" s="93"/>
      <c r="N19" s="96"/>
      <c r="O19" s="98"/>
    </row>
    <row r="20" ht="16.5" spans="1:15">
      <c r="A20" s="25">
        <v>45184</v>
      </c>
      <c r="B20" s="293">
        <f t="shared" si="1"/>
        <v>0</v>
      </c>
      <c r="C20" s="135"/>
      <c r="D20" s="33"/>
      <c r="E20" s="33"/>
      <c r="F20" s="303"/>
      <c r="G20" s="304"/>
      <c r="H20" s="304"/>
      <c r="I20" s="338"/>
      <c r="J20" s="418"/>
      <c r="K20" s="419">
        <f t="shared" si="2"/>
        <v>0</v>
      </c>
      <c r="L20" s="332">
        <f t="shared" si="0"/>
        <v>0</v>
      </c>
      <c r="M20" s="93"/>
      <c r="N20" s="96"/>
      <c r="O20" s="98"/>
    </row>
    <row r="21" ht="16.5" spans="1:15">
      <c r="A21" s="25">
        <v>45185</v>
      </c>
      <c r="B21" s="293">
        <f t="shared" si="1"/>
        <v>0</v>
      </c>
      <c r="C21" s="135"/>
      <c r="D21" s="33"/>
      <c r="E21" s="33"/>
      <c r="F21" s="303"/>
      <c r="G21" s="304"/>
      <c r="H21" s="304"/>
      <c r="I21" s="338"/>
      <c r="J21" s="418"/>
      <c r="K21" s="419">
        <f t="shared" si="2"/>
        <v>0</v>
      </c>
      <c r="L21" s="332">
        <f t="shared" si="0"/>
        <v>0</v>
      </c>
      <c r="M21" s="93"/>
      <c r="N21" s="96"/>
      <c r="O21" s="98"/>
    </row>
    <row r="22" ht="16.5" spans="1:15">
      <c r="A22" s="25">
        <v>45186</v>
      </c>
      <c r="B22" s="293">
        <f t="shared" si="1"/>
        <v>0</v>
      </c>
      <c r="C22" s="135"/>
      <c r="D22" s="33"/>
      <c r="E22" s="33"/>
      <c r="F22" s="303"/>
      <c r="G22" s="304"/>
      <c r="H22" s="304"/>
      <c r="I22" s="338"/>
      <c r="J22" s="418"/>
      <c r="K22" s="419">
        <f t="shared" si="2"/>
        <v>0</v>
      </c>
      <c r="L22" s="332">
        <f t="shared" si="0"/>
        <v>0</v>
      </c>
      <c r="M22" s="93"/>
      <c r="N22" s="96"/>
      <c r="O22" s="98"/>
    </row>
    <row r="23" ht="16.5" spans="1:15">
      <c r="A23" s="25">
        <v>45187</v>
      </c>
      <c r="B23" s="293">
        <f t="shared" si="1"/>
        <v>0</v>
      </c>
      <c r="C23" s="135"/>
      <c r="D23" s="33"/>
      <c r="E23" s="33"/>
      <c r="F23" s="303"/>
      <c r="G23" s="304"/>
      <c r="H23" s="304"/>
      <c r="I23" s="338"/>
      <c r="J23" s="418"/>
      <c r="K23" s="419">
        <f t="shared" si="2"/>
        <v>0</v>
      </c>
      <c r="L23" s="332">
        <f t="shared" si="0"/>
        <v>0</v>
      </c>
      <c r="M23" s="93"/>
      <c r="N23" s="101"/>
      <c r="O23" s="98"/>
    </row>
    <row r="24" ht="16.5" spans="1:15">
      <c r="A24" s="25">
        <v>45188</v>
      </c>
      <c r="B24" s="293">
        <f t="shared" si="1"/>
        <v>0</v>
      </c>
      <c r="C24" s="135"/>
      <c r="D24" s="33"/>
      <c r="E24" s="33"/>
      <c r="F24" s="303"/>
      <c r="G24" s="304"/>
      <c r="H24" s="304"/>
      <c r="I24" s="338"/>
      <c r="J24" s="418"/>
      <c r="K24" s="419">
        <f t="shared" si="2"/>
        <v>0</v>
      </c>
      <c r="L24" s="332">
        <f t="shared" si="0"/>
        <v>0</v>
      </c>
      <c r="M24" s="93"/>
      <c r="N24" s="96"/>
      <c r="O24" s="98"/>
    </row>
    <row r="25" ht="16.5" spans="1:15">
      <c r="A25" s="25">
        <v>45189</v>
      </c>
      <c r="B25" s="293">
        <f t="shared" si="1"/>
        <v>0</v>
      </c>
      <c r="C25" s="135"/>
      <c r="D25" s="33"/>
      <c r="E25" s="33"/>
      <c r="F25" s="303"/>
      <c r="G25" s="304"/>
      <c r="H25" s="304"/>
      <c r="I25" s="338"/>
      <c r="J25" s="418"/>
      <c r="K25" s="419">
        <f t="shared" si="2"/>
        <v>0</v>
      </c>
      <c r="L25" s="332">
        <f t="shared" si="0"/>
        <v>0</v>
      </c>
      <c r="M25" s="93"/>
      <c r="N25" s="96"/>
      <c r="O25" s="98"/>
    </row>
    <row r="26" ht="16.5" spans="1:15">
      <c r="A26" s="25">
        <v>45190</v>
      </c>
      <c r="B26" s="293">
        <f t="shared" si="1"/>
        <v>0</v>
      </c>
      <c r="C26" s="135"/>
      <c r="D26" s="33"/>
      <c r="E26" s="33"/>
      <c r="F26" s="303"/>
      <c r="G26" s="304"/>
      <c r="H26" s="304"/>
      <c r="I26" s="338"/>
      <c r="J26" s="418"/>
      <c r="K26" s="419">
        <f t="shared" si="2"/>
        <v>0</v>
      </c>
      <c r="L26" s="332">
        <f t="shared" si="0"/>
        <v>0</v>
      </c>
      <c r="M26" s="93"/>
      <c r="N26" s="96"/>
      <c r="O26" s="98"/>
    </row>
    <row r="27" ht="16.5" spans="1:16">
      <c r="A27" s="25">
        <v>45191</v>
      </c>
      <c r="B27" s="293">
        <f t="shared" si="1"/>
        <v>0</v>
      </c>
      <c r="C27" s="135"/>
      <c r="D27" s="33"/>
      <c r="E27" s="33"/>
      <c r="F27" s="303"/>
      <c r="G27" s="304"/>
      <c r="H27" s="304"/>
      <c r="I27" s="338"/>
      <c r="J27" s="418"/>
      <c r="K27" s="419">
        <f t="shared" si="2"/>
        <v>0</v>
      </c>
      <c r="L27" s="332">
        <f t="shared" si="0"/>
        <v>0</v>
      </c>
      <c r="M27" s="93"/>
      <c r="N27" s="96"/>
      <c r="O27" s="98"/>
      <c r="P27" s="100"/>
    </row>
    <row r="28" ht="16.5" spans="1:15">
      <c r="A28" s="25">
        <v>45192</v>
      </c>
      <c r="B28" s="293">
        <f t="shared" si="1"/>
        <v>0</v>
      </c>
      <c r="C28" s="135"/>
      <c r="D28" s="33"/>
      <c r="E28" s="33"/>
      <c r="F28" s="303"/>
      <c r="G28" s="304"/>
      <c r="H28" s="339"/>
      <c r="I28" s="339"/>
      <c r="J28" s="418"/>
      <c r="K28" s="419">
        <f t="shared" si="2"/>
        <v>0</v>
      </c>
      <c r="L28" s="332">
        <f t="shared" si="0"/>
        <v>0</v>
      </c>
      <c r="M28" s="93"/>
      <c r="N28" s="96"/>
      <c r="O28" s="98"/>
    </row>
    <row r="29" ht="16.5" spans="1:15">
      <c r="A29" s="25">
        <v>45193</v>
      </c>
      <c r="B29" s="293">
        <f t="shared" si="1"/>
        <v>0</v>
      </c>
      <c r="C29" s="135"/>
      <c r="D29" s="33"/>
      <c r="E29" s="33"/>
      <c r="F29" s="303"/>
      <c r="G29" s="304"/>
      <c r="H29" s="304"/>
      <c r="I29" s="338"/>
      <c r="J29" s="418"/>
      <c r="K29" s="419">
        <f t="shared" si="2"/>
        <v>0</v>
      </c>
      <c r="L29" s="332">
        <f t="shared" si="0"/>
        <v>0</v>
      </c>
      <c r="M29" s="93"/>
      <c r="N29" s="96"/>
      <c r="O29" s="98"/>
    </row>
    <row r="30" ht="16.5" spans="1:15">
      <c r="A30" s="25">
        <v>45194</v>
      </c>
      <c r="B30" s="293">
        <f t="shared" si="1"/>
        <v>0</v>
      </c>
      <c r="C30" s="135"/>
      <c r="D30" s="33"/>
      <c r="E30" s="33"/>
      <c r="F30" s="303"/>
      <c r="G30" s="304"/>
      <c r="H30" s="304"/>
      <c r="I30" s="338"/>
      <c r="J30" s="418"/>
      <c r="K30" s="419">
        <f t="shared" si="2"/>
        <v>0</v>
      </c>
      <c r="L30" s="332">
        <f t="shared" si="0"/>
        <v>0</v>
      </c>
      <c r="M30" s="93"/>
      <c r="N30" s="96"/>
      <c r="O30" s="98"/>
    </row>
    <row r="31" ht="16.5" spans="1:15">
      <c r="A31" s="25">
        <v>45195</v>
      </c>
      <c r="B31" s="293">
        <f t="shared" si="1"/>
        <v>0</v>
      </c>
      <c r="C31" s="414"/>
      <c r="D31" s="33"/>
      <c r="E31" s="33"/>
      <c r="F31" s="303"/>
      <c r="G31" s="338"/>
      <c r="H31" s="304"/>
      <c r="I31" s="338"/>
      <c r="J31" s="418"/>
      <c r="K31" s="419">
        <f t="shared" si="2"/>
        <v>0</v>
      </c>
      <c r="L31" s="332">
        <f t="shared" si="0"/>
        <v>0</v>
      </c>
      <c r="M31" s="93"/>
      <c r="N31" s="96"/>
      <c r="O31" s="98"/>
    </row>
    <row r="32" ht="16.5" spans="1:15">
      <c r="A32" s="25">
        <v>45196</v>
      </c>
      <c r="B32" s="293">
        <f t="shared" si="1"/>
        <v>0</v>
      </c>
      <c r="C32" s="414"/>
      <c r="D32" s="33"/>
      <c r="E32" s="33"/>
      <c r="F32" s="303"/>
      <c r="G32" s="304"/>
      <c r="H32" s="304"/>
      <c r="I32" s="338"/>
      <c r="J32" s="418"/>
      <c r="K32" s="419">
        <f t="shared" si="2"/>
        <v>0</v>
      </c>
      <c r="L32" s="332">
        <f t="shared" si="0"/>
        <v>0</v>
      </c>
      <c r="M32" s="93"/>
      <c r="N32" s="96"/>
      <c r="O32" s="98"/>
    </row>
    <row r="33" ht="16.5" spans="1:16">
      <c r="A33" s="25">
        <v>45197</v>
      </c>
      <c r="B33" s="293">
        <f t="shared" si="1"/>
        <v>0</v>
      </c>
      <c r="C33" s="412"/>
      <c r="D33" s="33"/>
      <c r="E33" s="33"/>
      <c r="F33" s="303"/>
      <c r="G33" s="304"/>
      <c r="H33" s="304"/>
      <c r="I33" s="338"/>
      <c r="J33" s="418"/>
      <c r="K33" s="419">
        <f t="shared" si="2"/>
        <v>0</v>
      </c>
      <c r="L33" s="332">
        <f t="shared" si="0"/>
        <v>0</v>
      </c>
      <c r="M33" s="93"/>
      <c r="N33" s="96"/>
      <c r="O33" s="98"/>
      <c r="P33" s="100"/>
    </row>
    <row r="34" s="1" customFormat="1" ht="16.5" spans="1:15">
      <c r="A34" s="25">
        <v>45198</v>
      </c>
      <c r="B34" s="293">
        <f t="shared" si="1"/>
        <v>0</v>
      </c>
      <c r="C34" s="414"/>
      <c r="D34" s="33"/>
      <c r="E34" s="33"/>
      <c r="F34" s="303"/>
      <c r="G34" s="304"/>
      <c r="H34" s="304"/>
      <c r="I34" s="338"/>
      <c r="J34" s="418"/>
      <c r="K34" s="419">
        <f t="shared" si="2"/>
        <v>0</v>
      </c>
      <c r="L34" s="332">
        <f t="shared" si="0"/>
        <v>0</v>
      </c>
      <c r="M34" s="93"/>
      <c r="N34" s="96"/>
      <c r="O34" s="102"/>
    </row>
    <row r="35" ht="16.5" spans="1:15">
      <c r="A35" s="25">
        <v>45199</v>
      </c>
      <c r="B35" s="293">
        <f t="shared" si="1"/>
        <v>0</v>
      </c>
      <c r="C35" s="413"/>
      <c r="D35" s="33"/>
      <c r="E35" s="33"/>
      <c r="F35" s="303"/>
      <c r="G35" s="339"/>
      <c r="H35" s="304"/>
      <c r="I35" s="339"/>
      <c r="J35" s="418"/>
      <c r="K35" s="419">
        <f t="shared" si="2"/>
        <v>0</v>
      </c>
      <c r="L35" s="332">
        <f t="shared" si="0"/>
        <v>0</v>
      </c>
      <c r="M35" s="93"/>
      <c r="N35" s="96"/>
      <c r="O35" s="98"/>
    </row>
    <row r="36" ht="18" customHeight="1" spans="1:15">
      <c r="A36" s="25"/>
      <c r="B36" s="293"/>
      <c r="C36" s="432"/>
      <c r="D36" s="27"/>
      <c r="E36" s="27"/>
      <c r="F36" s="294"/>
      <c r="G36" s="295"/>
      <c r="H36" s="296"/>
      <c r="I36" s="329"/>
      <c r="J36" s="341"/>
      <c r="K36" s="419"/>
      <c r="L36" s="332"/>
      <c r="M36" s="104"/>
      <c r="N36" s="96"/>
      <c r="O36" s="105"/>
    </row>
    <row r="37" ht="15" spans="1:15">
      <c r="A37" s="43"/>
      <c r="B37" s="310"/>
      <c r="C37" s="311">
        <f t="shared" ref="C37:K37" si="3">SUM(C5:C36)</f>
        <v>0</v>
      </c>
      <c r="D37" s="46">
        <f t="shared" si="3"/>
        <v>0</v>
      </c>
      <c r="E37" s="47">
        <f t="shared" si="3"/>
        <v>0</v>
      </c>
      <c r="F37" s="312">
        <f t="shared" si="3"/>
        <v>0</v>
      </c>
      <c r="G37" s="313">
        <f t="shared" si="3"/>
        <v>0</v>
      </c>
      <c r="H37" s="314">
        <f t="shared" si="3"/>
        <v>0</v>
      </c>
      <c r="I37" s="313">
        <f t="shared" si="3"/>
        <v>0</v>
      </c>
      <c r="J37" s="313"/>
      <c r="K37" s="428">
        <f t="shared" si="3"/>
        <v>0</v>
      </c>
      <c r="L37" s="429">
        <f>SUM(B5+C37-D37-E37-K37)</f>
        <v>0</v>
      </c>
      <c r="M37" s="429"/>
      <c r="N37" s="108"/>
      <c r="O37" s="109"/>
    </row>
    <row r="39" ht="17.25" spans="1:13">
      <c r="A39" s="50" t="s">
        <v>20</v>
      </c>
      <c r="B39" s="51"/>
      <c r="C39" s="52" t="s">
        <v>21</v>
      </c>
      <c r="D39" s="53" t="s">
        <v>22</v>
      </c>
      <c r="E39" s="3"/>
      <c r="F39" s="3"/>
      <c r="G39" s="3"/>
      <c r="H39" s="50" t="s">
        <v>23</v>
      </c>
      <c r="I39" s="59" t="s">
        <v>24</v>
      </c>
      <c r="J39" s="3"/>
      <c r="K39" s="50" t="s">
        <v>25</v>
      </c>
      <c r="L39" s="3"/>
      <c r="M39" s="3"/>
    </row>
    <row r="40" ht="17.25" spans="1:13">
      <c r="A40" s="50"/>
      <c r="B40" s="51"/>
      <c r="C40" s="52"/>
      <c r="D40" s="53"/>
      <c r="E40" s="3"/>
      <c r="F40" s="3"/>
      <c r="G40" s="3"/>
      <c r="H40" s="50"/>
      <c r="I40" s="59"/>
      <c r="J40" s="3"/>
      <c r="K40" s="110" t="s">
        <v>46</v>
      </c>
      <c r="L40" s="111">
        <f>L37</f>
        <v>0</v>
      </c>
      <c r="M40" s="112" t="s">
        <v>27</v>
      </c>
    </row>
    <row r="41" ht="16.5" spans="1:13">
      <c r="A41" s="50"/>
      <c r="B41" s="51"/>
      <c r="C41" s="52"/>
      <c r="D41" s="53"/>
      <c r="E41" s="3"/>
      <c r="F41" s="3"/>
      <c r="G41" s="3"/>
      <c r="H41" s="50"/>
      <c r="I41" s="59"/>
      <c r="J41" s="3"/>
      <c r="K41" s="50"/>
      <c r="L41" s="3"/>
      <c r="M41" s="3"/>
    </row>
    <row r="42" ht="15" spans="9:13">
      <c r="I42" s="430"/>
      <c r="J42" s="430"/>
      <c r="K42" s="113" t="s">
        <v>28</v>
      </c>
      <c r="L42" s="115"/>
      <c r="M42" s="349"/>
    </row>
    <row r="43" spans="1:9">
      <c r="A43" s="55" t="s">
        <v>29</v>
      </c>
      <c r="B43" s="56" t="s">
        <v>30</v>
      </c>
      <c r="C43" s="57"/>
      <c r="D43" s="58"/>
      <c r="E43" s="3"/>
      <c r="F43" s="3"/>
      <c r="G43" s="3"/>
      <c r="H43" s="3"/>
      <c r="I43" s="3"/>
    </row>
    <row r="44" spans="1:9">
      <c r="A44" s="59" t="s">
        <v>31</v>
      </c>
      <c r="B44" s="60" t="s">
        <v>32</v>
      </c>
      <c r="C44" s="61" t="e">
        <f>(C37+B5)/C43</f>
        <v>#DIV/0!</v>
      </c>
      <c r="D44" s="58"/>
      <c r="E44" s="3"/>
      <c r="F44" s="3"/>
      <c r="G44" s="3"/>
      <c r="H44" s="3"/>
      <c r="I44" s="3"/>
    </row>
    <row r="45" spans="1:9">
      <c r="A45" s="59" t="s">
        <v>33</v>
      </c>
      <c r="B45" s="60" t="s">
        <v>34</v>
      </c>
      <c r="C45" s="61" t="e">
        <f>(B5+C37-D37)/C43</f>
        <v>#DIV/0!</v>
      </c>
      <c r="D45" s="58"/>
      <c r="E45" s="3"/>
      <c r="F45" s="3"/>
      <c r="G45" s="3"/>
      <c r="H45" s="3"/>
      <c r="I45" s="3"/>
    </row>
    <row r="46" ht="15" spans="1:9">
      <c r="A46" s="59" t="s">
        <v>23</v>
      </c>
      <c r="B46" s="60" t="s">
        <v>35</v>
      </c>
      <c r="C46" s="61" t="e">
        <f>H37/C43</f>
        <v>#DIV/0!</v>
      </c>
      <c r="D46" s="62" t="s">
        <v>36</v>
      </c>
      <c r="E46" s="62"/>
      <c r="F46" s="63"/>
      <c r="G46" s="64"/>
      <c r="H46" s="3" t="s">
        <v>37</v>
      </c>
      <c r="I46" s="3"/>
    </row>
    <row r="47" ht="17.25" spans="1:9">
      <c r="A47" s="59" t="s">
        <v>25</v>
      </c>
      <c r="B47" s="60" t="s">
        <v>38</v>
      </c>
      <c r="C47" s="61" t="e">
        <f>(K37)/C43</f>
        <v>#DIV/0!</v>
      </c>
      <c r="D47" s="65" t="s">
        <v>39</v>
      </c>
      <c r="E47" s="66" t="e">
        <f>(C45-C47)</f>
        <v>#DIV/0!</v>
      </c>
      <c r="F47" s="67"/>
      <c r="G47" s="3"/>
      <c r="H47" s="3"/>
      <c r="I47" s="3"/>
    </row>
    <row r="48" ht="17.25" spans="1:9">
      <c r="A48" s="59" t="s">
        <v>24</v>
      </c>
      <c r="B48" s="68" t="s">
        <v>40</v>
      </c>
      <c r="C48" s="69" t="e">
        <f>(I37/H37)</f>
        <v>#DIV/0!</v>
      </c>
      <c r="D48" s="70" t="s">
        <v>39</v>
      </c>
      <c r="E48" s="71" t="e">
        <f>E47/C45</f>
        <v>#DIV/0!</v>
      </c>
      <c r="F48" s="3"/>
      <c r="G48" s="3"/>
      <c r="H48" s="3"/>
      <c r="I48" s="3"/>
    </row>
    <row r="51" spans="4:4">
      <c r="D51" s="380" t="s">
        <v>47</v>
      </c>
    </row>
  </sheetData>
  <mergeCells count="12">
    <mergeCell ref="A1:O1"/>
    <mergeCell ref="F3:I3"/>
    <mergeCell ref="A3:A4"/>
    <mergeCell ref="B3:B4"/>
    <mergeCell ref="C3:C4"/>
    <mergeCell ref="D3:D4"/>
    <mergeCell ref="E3:E4"/>
    <mergeCell ref="K3:K4"/>
    <mergeCell ref="L3:L4"/>
    <mergeCell ref="M3:M4"/>
    <mergeCell ref="N3:N4"/>
    <mergeCell ref="O3:O5"/>
  </mergeCells>
  <pageMargins left="0.7" right="0.7" top="0.75" bottom="0.75" header="0.3" footer="0.3"/>
  <pageSetup paperSize="9" orientation="portrait" horizontalDpi="2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workbookViewId="0">
      <selection activeCell="A2" sqref="A2"/>
    </sheetView>
  </sheetViews>
  <sheetFormatPr defaultColWidth="10.4416666666667" defaultRowHeight="14.25"/>
  <cols>
    <col min="1" max="1" width="12.6666666666667" style="2" customWidth="1"/>
    <col min="2" max="2" width="19" style="2" customWidth="1"/>
    <col min="3" max="3" width="12.25" style="2" customWidth="1"/>
    <col min="4" max="4" width="10.4416666666667" style="4" customWidth="1"/>
    <col min="5" max="8" width="10.4416666666667" style="2"/>
    <col min="9" max="9" width="10.775" style="2" customWidth="1"/>
    <col min="10" max="10" width="15.1083333333333" style="2" customWidth="1"/>
    <col min="11" max="11" width="13.5583333333333" style="2" customWidth="1"/>
    <col min="12" max="12" width="12.4416666666667" style="2" customWidth="1"/>
    <col min="13" max="13" width="10.6666666666667" style="2" customWidth="1"/>
    <col min="14" max="14" width="13.2166666666667" style="5" customWidth="1"/>
    <col min="15" max="15" width="10.4416666666667" style="6"/>
    <col min="16" max="16384" width="10.4416666666667" style="2"/>
  </cols>
  <sheetData>
    <row r="1" ht="30" spans="1:15">
      <c r="A1" s="7" t="s">
        <v>48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0.25" spans="1:12">
      <c r="A2" s="233" t="s">
        <v>1</v>
      </c>
      <c r="L2" s="2" t="s">
        <v>2</v>
      </c>
    </row>
    <row r="3" spans="1:15">
      <c r="A3" s="9" t="s">
        <v>3</v>
      </c>
      <c r="B3" s="282" t="s">
        <v>4</v>
      </c>
      <c r="C3" s="283" t="s">
        <v>5</v>
      </c>
      <c r="D3" s="9" t="s">
        <v>6</v>
      </c>
      <c r="E3" s="9" t="s">
        <v>7</v>
      </c>
      <c r="F3" s="22" t="s">
        <v>8</v>
      </c>
      <c r="G3" s="284"/>
      <c r="H3" s="284"/>
      <c r="I3" s="284"/>
      <c r="J3" s="317"/>
      <c r="K3" s="318" t="s">
        <v>9</v>
      </c>
      <c r="L3" s="9" t="s">
        <v>10</v>
      </c>
      <c r="M3" s="9" t="s">
        <v>11</v>
      </c>
      <c r="N3" s="75" t="s">
        <v>12</v>
      </c>
      <c r="O3" s="76" t="s">
        <v>13</v>
      </c>
    </row>
    <row r="4" ht="15" spans="1:15">
      <c r="A4" s="14"/>
      <c r="B4" s="285"/>
      <c r="C4" s="286"/>
      <c r="D4" s="14"/>
      <c r="E4" s="14"/>
      <c r="F4" s="287" t="s">
        <v>14</v>
      </c>
      <c r="G4" s="288" t="s">
        <v>15</v>
      </c>
      <c r="H4" s="288" t="s">
        <v>16</v>
      </c>
      <c r="I4" s="320" t="s">
        <v>17</v>
      </c>
      <c r="J4" s="321" t="s">
        <v>18</v>
      </c>
      <c r="K4" s="322"/>
      <c r="L4" s="14"/>
      <c r="M4" s="14"/>
      <c r="N4" s="81"/>
      <c r="O4" s="82"/>
    </row>
    <row r="5" ht="15" spans="1:15">
      <c r="A5" s="19" t="s">
        <v>19</v>
      </c>
      <c r="B5" s="406"/>
      <c r="C5" s="290"/>
      <c r="D5" s="22"/>
      <c r="E5" s="22"/>
      <c r="F5" s="291"/>
      <c r="G5" s="292"/>
      <c r="H5" s="292"/>
      <c r="I5" s="324"/>
      <c r="J5" s="317"/>
      <c r="K5" s="417"/>
      <c r="L5" s="326">
        <f>SUM(V4)</f>
        <v>0</v>
      </c>
      <c r="M5" s="86"/>
      <c r="N5" s="87"/>
      <c r="O5" s="88"/>
    </row>
    <row r="6" ht="16.5" spans="1:15">
      <c r="A6" s="25">
        <v>45139</v>
      </c>
      <c r="B6" s="293">
        <f>B5</f>
        <v>0</v>
      </c>
      <c r="C6" s="135"/>
      <c r="D6" s="142"/>
      <c r="E6" s="142"/>
      <c r="F6" s="407"/>
      <c r="G6" s="408"/>
      <c r="H6" s="408"/>
      <c r="I6" s="339"/>
      <c r="J6" s="418"/>
      <c r="K6" s="419">
        <f>SUM(H6+I6)</f>
        <v>0</v>
      </c>
      <c r="L6" s="332">
        <f>B6+C6-D6-E6-K6</f>
        <v>0</v>
      </c>
      <c r="M6" s="93"/>
      <c r="N6" s="94"/>
      <c r="O6" s="95"/>
    </row>
    <row r="7" ht="16.5" spans="1:15">
      <c r="A7" s="25">
        <v>45140</v>
      </c>
      <c r="B7" s="293">
        <f>SUM(L6)</f>
        <v>0</v>
      </c>
      <c r="C7" s="135"/>
      <c r="D7" s="145"/>
      <c r="E7" s="146"/>
      <c r="F7" s="407"/>
      <c r="G7" s="408"/>
      <c r="H7" s="304"/>
      <c r="I7" s="339"/>
      <c r="J7" s="418"/>
      <c r="K7" s="419">
        <f t="shared" ref="K7:K36" si="0">SUM(H7+I7)</f>
        <v>0</v>
      </c>
      <c r="L7" s="332">
        <f t="shared" ref="L7:L36" si="1">B7+C7-D7-E7-K7</f>
        <v>0</v>
      </c>
      <c r="M7" s="93"/>
      <c r="N7" s="96"/>
      <c r="O7" s="97"/>
    </row>
    <row r="8" ht="16.5" spans="1:15">
      <c r="A8" s="25">
        <v>45141</v>
      </c>
      <c r="B8" s="293">
        <f t="shared" ref="B8:B36" si="2">SUM(L7)</f>
        <v>0</v>
      </c>
      <c r="C8" s="135"/>
      <c r="D8" s="145"/>
      <c r="E8" s="146"/>
      <c r="F8" s="407"/>
      <c r="G8" s="408"/>
      <c r="H8" s="304"/>
      <c r="I8" s="339"/>
      <c r="J8" s="418"/>
      <c r="K8" s="419">
        <f t="shared" si="0"/>
        <v>0</v>
      </c>
      <c r="L8" s="332">
        <f t="shared" si="1"/>
        <v>0</v>
      </c>
      <c r="M8" s="93"/>
      <c r="N8" s="96"/>
      <c r="O8" s="98"/>
    </row>
    <row r="9" ht="16.5" spans="1:15">
      <c r="A9" s="25">
        <v>45142</v>
      </c>
      <c r="B9" s="293">
        <f t="shared" si="2"/>
        <v>0</v>
      </c>
      <c r="C9" s="135"/>
      <c r="D9" s="33"/>
      <c r="E9" s="36"/>
      <c r="F9" s="407"/>
      <c r="G9" s="408"/>
      <c r="H9" s="304"/>
      <c r="I9" s="339"/>
      <c r="J9" s="418"/>
      <c r="K9" s="419">
        <f t="shared" si="0"/>
        <v>0</v>
      </c>
      <c r="L9" s="332">
        <f t="shared" si="1"/>
        <v>0</v>
      </c>
      <c r="M9" s="93"/>
      <c r="N9" s="96"/>
      <c r="O9" s="98"/>
    </row>
    <row r="10" ht="16.5" spans="1:16">
      <c r="A10" s="25">
        <v>45143</v>
      </c>
      <c r="B10" s="293">
        <f t="shared" si="2"/>
        <v>0</v>
      </c>
      <c r="C10" s="135"/>
      <c r="D10" s="33"/>
      <c r="E10" s="36"/>
      <c r="F10" s="303"/>
      <c r="G10" s="304"/>
      <c r="H10" s="304"/>
      <c r="I10" s="338"/>
      <c r="J10" s="418"/>
      <c r="K10" s="419">
        <f t="shared" si="0"/>
        <v>0</v>
      </c>
      <c r="L10" s="332">
        <f t="shared" si="1"/>
        <v>0</v>
      </c>
      <c r="M10" s="93"/>
      <c r="N10" s="96"/>
      <c r="O10" s="98"/>
      <c r="P10" s="100"/>
    </row>
    <row r="11" ht="16.5" spans="1:15">
      <c r="A11" s="25">
        <v>45144</v>
      </c>
      <c r="B11" s="293">
        <f t="shared" si="2"/>
        <v>0</v>
      </c>
      <c r="C11" s="135"/>
      <c r="D11" s="119"/>
      <c r="E11" s="36"/>
      <c r="F11" s="303"/>
      <c r="G11" s="304"/>
      <c r="H11" s="304"/>
      <c r="I11" s="338"/>
      <c r="J11" s="418"/>
      <c r="K11" s="419">
        <f t="shared" si="0"/>
        <v>0</v>
      </c>
      <c r="L11" s="332">
        <f t="shared" si="1"/>
        <v>0</v>
      </c>
      <c r="M11" s="93"/>
      <c r="N11" s="96"/>
      <c r="O11" s="98"/>
    </row>
    <row r="12" ht="16.5" spans="1:15">
      <c r="A12" s="25">
        <v>45145</v>
      </c>
      <c r="B12" s="293">
        <f t="shared" si="2"/>
        <v>0</v>
      </c>
      <c r="C12" s="135"/>
      <c r="D12" s="33"/>
      <c r="E12" s="36"/>
      <c r="F12" s="303"/>
      <c r="G12" s="304"/>
      <c r="H12" s="304"/>
      <c r="I12" s="338"/>
      <c r="J12" s="418"/>
      <c r="K12" s="419">
        <f t="shared" si="0"/>
        <v>0</v>
      </c>
      <c r="L12" s="332">
        <f t="shared" si="1"/>
        <v>0</v>
      </c>
      <c r="M12" s="93"/>
      <c r="N12" s="96"/>
      <c r="O12" s="98"/>
    </row>
    <row r="13" ht="16.5" spans="1:15">
      <c r="A13" s="25">
        <v>45146</v>
      </c>
      <c r="B13" s="293">
        <f t="shared" si="2"/>
        <v>0</v>
      </c>
      <c r="C13" s="135"/>
      <c r="D13" s="33"/>
      <c r="E13" s="36"/>
      <c r="F13" s="303"/>
      <c r="G13" s="304"/>
      <c r="H13" s="304"/>
      <c r="I13" s="338"/>
      <c r="J13" s="418"/>
      <c r="K13" s="419">
        <f t="shared" si="0"/>
        <v>0</v>
      </c>
      <c r="L13" s="332">
        <f t="shared" si="1"/>
        <v>0</v>
      </c>
      <c r="M13" s="93"/>
      <c r="N13" s="96"/>
      <c r="O13" s="98"/>
    </row>
    <row r="14" ht="16.5" spans="1:15">
      <c r="A14" s="25">
        <v>45147</v>
      </c>
      <c r="B14" s="293">
        <f t="shared" si="2"/>
        <v>0</v>
      </c>
      <c r="C14" s="135"/>
      <c r="D14" s="33"/>
      <c r="E14" s="36"/>
      <c r="F14" s="303"/>
      <c r="G14" s="304"/>
      <c r="H14" s="304"/>
      <c r="I14" s="338"/>
      <c r="J14" s="418"/>
      <c r="K14" s="419">
        <f t="shared" si="0"/>
        <v>0</v>
      </c>
      <c r="L14" s="332">
        <f t="shared" si="1"/>
        <v>0</v>
      </c>
      <c r="M14" s="93"/>
      <c r="N14" s="96"/>
      <c r="O14" s="98"/>
    </row>
    <row r="15" ht="16.5" spans="1:15">
      <c r="A15" s="25">
        <v>45148</v>
      </c>
      <c r="B15" s="293">
        <f t="shared" si="2"/>
        <v>0</v>
      </c>
      <c r="C15" s="135"/>
      <c r="D15" s="33"/>
      <c r="E15" s="36"/>
      <c r="F15" s="303"/>
      <c r="G15" s="304"/>
      <c r="H15" s="304"/>
      <c r="I15" s="338"/>
      <c r="J15" s="418"/>
      <c r="K15" s="419">
        <f t="shared" si="0"/>
        <v>0</v>
      </c>
      <c r="L15" s="420">
        <f t="shared" si="1"/>
        <v>0</v>
      </c>
      <c r="M15" s="93"/>
      <c r="N15" s="96"/>
      <c r="O15" s="98"/>
    </row>
    <row r="16" ht="16.5" spans="1:15">
      <c r="A16" s="25">
        <v>45149</v>
      </c>
      <c r="B16" s="293">
        <f t="shared" si="2"/>
        <v>0</v>
      </c>
      <c r="C16" s="135"/>
      <c r="D16" s="33"/>
      <c r="E16" s="36"/>
      <c r="F16" s="303"/>
      <c r="G16" s="304"/>
      <c r="H16" s="304"/>
      <c r="I16" s="338"/>
      <c r="J16" s="418"/>
      <c r="K16" s="419">
        <f t="shared" si="0"/>
        <v>0</v>
      </c>
      <c r="L16" s="420">
        <f t="shared" si="1"/>
        <v>0</v>
      </c>
      <c r="M16" s="93"/>
      <c r="N16" s="96"/>
      <c r="O16" s="98"/>
    </row>
    <row r="17" ht="16.5" spans="1:15">
      <c r="A17" s="25">
        <v>45150</v>
      </c>
      <c r="B17" s="293">
        <f t="shared" si="2"/>
        <v>0</v>
      </c>
      <c r="C17" s="135"/>
      <c r="D17" s="33"/>
      <c r="E17" s="36"/>
      <c r="F17" s="303"/>
      <c r="G17" s="304"/>
      <c r="H17" s="304"/>
      <c r="I17" s="338"/>
      <c r="J17" s="418"/>
      <c r="K17" s="419">
        <f t="shared" si="0"/>
        <v>0</v>
      </c>
      <c r="L17" s="420">
        <f t="shared" si="1"/>
        <v>0</v>
      </c>
      <c r="M17" s="93"/>
      <c r="N17" s="96"/>
      <c r="O17" s="98"/>
    </row>
    <row r="18" ht="16.5" spans="1:16">
      <c r="A18" s="25">
        <v>45151</v>
      </c>
      <c r="B18" s="293">
        <f t="shared" si="2"/>
        <v>0</v>
      </c>
      <c r="C18" s="135"/>
      <c r="D18" s="33"/>
      <c r="E18" s="36"/>
      <c r="F18" s="303"/>
      <c r="G18" s="304"/>
      <c r="H18" s="304"/>
      <c r="I18" s="338"/>
      <c r="J18" s="418"/>
      <c r="K18" s="419">
        <f t="shared" si="0"/>
        <v>0</v>
      </c>
      <c r="L18" s="420">
        <f t="shared" si="1"/>
        <v>0</v>
      </c>
      <c r="M18" s="93"/>
      <c r="N18" s="96"/>
      <c r="O18" s="98"/>
      <c r="P18" s="100"/>
    </row>
    <row r="19" ht="16.5" spans="1:15">
      <c r="A19" s="25">
        <v>45152</v>
      </c>
      <c r="B19" s="293">
        <f t="shared" si="2"/>
        <v>0</v>
      </c>
      <c r="C19" s="135"/>
      <c r="D19" s="33"/>
      <c r="E19" s="36"/>
      <c r="F19" s="303"/>
      <c r="G19" s="304"/>
      <c r="H19" s="304"/>
      <c r="I19" s="338"/>
      <c r="J19" s="418"/>
      <c r="K19" s="419">
        <f t="shared" si="0"/>
        <v>0</v>
      </c>
      <c r="L19" s="420">
        <f t="shared" si="1"/>
        <v>0</v>
      </c>
      <c r="M19" s="93"/>
      <c r="N19" s="96"/>
      <c r="O19" s="98"/>
    </row>
    <row r="20" ht="16.5" spans="1:15">
      <c r="A20" s="25">
        <v>45153</v>
      </c>
      <c r="B20" s="293">
        <f t="shared" si="2"/>
        <v>0</v>
      </c>
      <c r="C20" s="135"/>
      <c r="D20" s="409"/>
      <c r="E20" s="410"/>
      <c r="F20" s="411"/>
      <c r="G20" s="302"/>
      <c r="H20" s="302"/>
      <c r="I20" s="338"/>
      <c r="J20" s="418"/>
      <c r="K20" s="419">
        <f t="shared" si="0"/>
        <v>0</v>
      </c>
      <c r="L20" s="420">
        <f t="shared" si="1"/>
        <v>0</v>
      </c>
      <c r="M20" s="93"/>
      <c r="N20" s="96"/>
      <c r="O20" s="98"/>
    </row>
    <row r="21" ht="16.5" spans="1:15">
      <c r="A21" s="25">
        <v>45154</v>
      </c>
      <c r="B21" s="293">
        <f t="shared" si="2"/>
        <v>0</v>
      </c>
      <c r="C21" s="135"/>
      <c r="D21" s="409"/>
      <c r="E21" s="409"/>
      <c r="F21" s="411"/>
      <c r="G21" s="302"/>
      <c r="H21" s="302"/>
      <c r="I21" s="338"/>
      <c r="J21" s="418"/>
      <c r="K21" s="419">
        <f t="shared" si="0"/>
        <v>0</v>
      </c>
      <c r="L21" s="420">
        <f t="shared" si="1"/>
        <v>0</v>
      </c>
      <c r="M21" s="93"/>
      <c r="N21" s="96"/>
      <c r="O21" s="98"/>
    </row>
    <row r="22" ht="16.5" spans="1:15">
      <c r="A22" s="25">
        <v>45155</v>
      </c>
      <c r="B22" s="293">
        <f t="shared" si="2"/>
        <v>0</v>
      </c>
      <c r="C22" s="135"/>
      <c r="D22" s="33"/>
      <c r="E22" s="36"/>
      <c r="F22" s="303"/>
      <c r="G22" s="304"/>
      <c r="H22" s="304"/>
      <c r="I22" s="338"/>
      <c r="J22" s="418"/>
      <c r="K22" s="419">
        <f t="shared" si="0"/>
        <v>0</v>
      </c>
      <c r="L22" s="420">
        <f t="shared" si="1"/>
        <v>0</v>
      </c>
      <c r="M22" s="93"/>
      <c r="N22" s="96"/>
      <c r="O22" s="98"/>
    </row>
    <row r="23" ht="16.5" spans="1:15">
      <c r="A23" s="25">
        <v>45156</v>
      </c>
      <c r="B23" s="293">
        <f t="shared" si="2"/>
        <v>0</v>
      </c>
      <c r="C23" s="135"/>
      <c r="D23" s="33"/>
      <c r="E23" s="36"/>
      <c r="F23" s="303"/>
      <c r="G23" s="304"/>
      <c r="H23" s="304"/>
      <c r="I23" s="338"/>
      <c r="J23" s="418"/>
      <c r="K23" s="419">
        <f t="shared" si="0"/>
        <v>0</v>
      </c>
      <c r="L23" s="332">
        <f t="shared" si="1"/>
        <v>0</v>
      </c>
      <c r="M23" s="93"/>
      <c r="N23" s="101"/>
      <c r="O23" s="98"/>
    </row>
    <row r="24" ht="16.5" spans="1:15">
      <c r="A24" s="25">
        <v>45157</v>
      </c>
      <c r="B24" s="293">
        <f t="shared" si="2"/>
        <v>0</v>
      </c>
      <c r="C24" s="135"/>
      <c r="D24" s="33"/>
      <c r="E24" s="36"/>
      <c r="F24" s="303"/>
      <c r="G24" s="304"/>
      <c r="H24" s="304"/>
      <c r="I24" s="338"/>
      <c r="J24" s="418"/>
      <c r="K24" s="419">
        <f t="shared" si="0"/>
        <v>0</v>
      </c>
      <c r="L24" s="332">
        <f t="shared" si="1"/>
        <v>0</v>
      </c>
      <c r="M24" s="93"/>
      <c r="N24" s="96"/>
      <c r="O24" s="98"/>
    </row>
    <row r="25" ht="16.5" spans="1:15">
      <c r="A25" s="25">
        <v>45158</v>
      </c>
      <c r="B25" s="293">
        <f t="shared" si="2"/>
        <v>0</v>
      </c>
      <c r="C25" s="135"/>
      <c r="D25" s="33"/>
      <c r="E25" s="36"/>
      <c r="F25" s="303"/>
      <c r="G25" s="304"/>
      <c r="H25" s="304"/>
      <c r="I25" s="338"/>
      <c r="J25" s="418"/>
      <c r="K25" s="419">
        <f t="shared" si="0"/>
        <v>0</v>
      </c>
      <c r="L25" s="332">
        <f t="shared" si="1"/>
        <v>0</v>
      </c>
      <c r="M25" s="93"/>
      <c r="N25" s="96"/>
      <c r="O25" s="98"/>
    </row>
    <row r="26" ht="16.5" spans="1:15">
      <c r="A26" s="25">
        <v>45159</v>
      </c>
      <c r="B26" s="293">
        <f t="shared" si="2"/>
        <v>0</v>
      </c>
      <c r="C26" s="135"/>
      <c r="D26" s="33"/>
      <c r="E26" s="36"/>
      <c r="F26" s="303"/>
      <c r="G26" s="304"/>
      <c r="H26" s="304"/>
      <c r="I26" s="338"/>
      <c r="J26" s="418"/>
      <c r="K26" s="419">
        <f t="shared" si="0"/>
        <v>0</v>
      </c>
      <c r="L26" s="332">
        <f t="shared" si="1"/>
        <v>0</v>
      </c>
      <c r="M26" s="421"/>
      <c r="N26" s="422"/>
      <c r="O26" s="98"/>
    </row>
    <row r="27" ht="16.5" spans="1:16">
      <c r="A27" s="25">
        <v>45160</v>
      </c>
      <c r="B27" s="293">
        <f t="shared" si="2"/>
        <v>0</v>
      </c>
      <c r="C27" s="135"/>
      <c r="D27" s="33"/>
      <c r="E27" s="33"/>
      <c r="F27" s="303"/>
      <c r="G27" s="304"/>
      <c r="H27" s="304"/>
      <c r="I27" s="338"/>
      <c r="J27" s="418"/>
      <c r="K27" s="419">
        <f t="shared" si="0"/>
        <v>0</v>
      </c>
      <c r="L27" s="332">
        <f t="shared" si="1"/>
        <v>0</v>
      </c>
      <c r="M27" s="93"/>
      <c r="N27" s="96"/>
      <c r="O27" s="98"/>
      <c r="P27" s="100"/>
    </row>
    <row r="28" ht="16.5" spans="1:15">
      <c r="A28" s="25">
        <v>45161</v>
      </c>
      <c r="B28" s="293">
        <f t="shared" si="2"/>
        <v>0</v>
      </c>
      <c r="C28" s="135"/>
      <c r="D28" s="33"/>
      <c r="E28" s="36"/>
      <c r="F28" s="303"/>
      <c r="G28" s="304"/>
      <c r="H28" s="304"/>
      <c r="I28" s="339"/>
      <c r="J28" s="418"/>
      <c r="K28" s="419">
        <f t="shared" si="0"/>
        <v>0</v>
      </c>
      <c r="L28" s="332">
        <f t="shared" si="1"/>
        <v>0</v>
      </c>
      <c r="M28" s="93"/>
      <c r="N28" s="96"/>
      <c r="O28" s="98"/>
    </row>
    <row r="29" ht="16.5" spans="1:15">
      <c r="A29" s="25">
        <v>45162</v>
      </c>
      <c r="B29" s="293">
        <f t="shared" si="2"/>
        <v>0</v>
      </c>
      <c r="C29" s="135"/>
      <c r="D29" s="33"/>
      <c r="E29" s="36"/>
      <c r="F29" s="303"/>
      <c r="G29" s="304"/>
      <c r="H29" s="304"/>
      <c r="I29" s="338"/>
      <c r="J29" s="418"/>
      <c r="K29" s="419">
        <f t="shared" si="0"/>
        <v>0</v>
      </c>
      <c r="L29" s="332">
        <f t="shared" si="1"/>
        <v>0</v>
      </c>
      <c r="M29" s="93"/>
      <c r="N29" s="96"/>
      <c r="O29" s="98"/>
    </row>
    <row r="30" ht="16.5" spans="1:15">
      <c r="A30" s="25">
        <v>45163</v>
      </c>
      <c r="B30" s="293">
        <f t="shared" si="2"/>
        <v>0</v>
      </c>
      <c r="C30" s="135"/>
      <c r="D30" s="33"/>
      <c r="E30" s="36"/>
      <c r="F30" s="303"/>
      <c r="G30" s="304"/>
      <c r="H30" s="304"/>
      <c r="I30" s="338"/>
      <c r="J30" s="418"/>
      <c r="K30" s="419">
        <f t="shared" si="0"/>
        <v>0</v>
      </c>
      <c r="L30" s="332">
        <f t="shared" si="1"/>
        <v>0</v>
      </c>
      <c r="M30" s="93"/>
      <c r="N30" s="96"/>
      <c r="O30" s="98"/>
    </row>
    <row r="31" ht="16.5" spans="1:15">
      <c r="A31" s="25">
        <v>45164</v>
      </c>
      <c r="B31" s="293">
        <f t="shared" si="2"/>
        <v>0</v>
      </c>
      <c r="C31" s="412"/>
      <c r="D31" s="33"/>
      <c r="E31" s="36"/>
      <c r="F31" s="303"/>
      <c r="G31" s="304"/>
      <c r="H31" s="304"/>
      <c r="I31" s="338"/>
      <c r="J31" s="418"/>
      <c r="K31" s="419">
        <f t="shared" si="0"/>
        <v>0</v>
      </c>
      <c r="L31" s="332">
        <f t="shared" si="1"/>
        <v>0</v>
      </c>
      <c r="M31" s="93"/>
      <c r="N31" s="96"/>
      <c r="O31" s="98"/>
    </row>
    <row r="32" ht="16.5" spans="1:15">
      <c r="A32" s="25">
        <v>45165</v>
      </c>
      <c r="B32" s="293">
        <f t="shared" si="2"/>
        <v>0</v>
      </c>
      <c r="C32" s="413"/>
      <c r="D32" s="33"/>
      <c r="E32" s="36"/>
      <c r="F32" s="303"/>
      <c r="G32" s="304"/>
      <c r="H32" s="304"/>
      <c r="I32" s="338"/>
      <c r="J32" s="418"/>
      <c r="K32" s="419">
        <f t="shared" si="0"/>
        <v>0</v>
      </c>
      <c r="L32" s="332">
        <f t="shared" si="1"/>
        <v>0</v>
      </c>
      <c r="M32" s="93"/>
      <c r="N32" s="96"/>
      <c r="O32" s="98"/>
    </row>
    <row r="33" ht="16.5" spans="1:16">
      <c r="A33" s="25">
        <v>45166</v>
      </c>
      <c r="B33" s="293">
        <f t="shared" si="2"/>
        <v>0</v>
      </c>
      <c r="C33" s="414"/>
      <c r="D33" s="33"/>
      <c r="E33" s="33"/>
      <c r="F33" s="303"/>
      <c r="G33" s="304"/>
      <c r="H33" s="304"/>
      <c r="I33" s="338"/>
      <c r="J33" s="418"/>
      <c r="K33" s="419">
        <f t="shared" si="0"/>
        <v>0</v>
      </c>
      <c r="L33" s="332">
        <f t="shared" si="1"/>
        <v>0</v>
      </c>
      <c r="M33" s="93"/>
      <c r="N33" s="96"/>
      <c r="O33" s="98"/>
      <c r="P33" s="100"/>
    </row>
    <row r="34" s="1" customFormat="1" ht="16.5" spans="1:15">
      <c r="A34" s="25">
        <v>45167</v>
      </c>
      <c r="B34" s="293">
        <f t="shared" si="2"/>
        <v>0</v>
      </c>
      <c r="C34" s="414"/>
      <c r="D34" s="33"/>
      <c r="E34" s="36"/>
      <c r="F34" s="303"/>
      <c r="G34" s="304"/>
      <c r="H34" s="304"/>
      <c r="I34" s="338"/>
      <c r="J34" s="418"/>
      <c r="K34" s="419">
        <f t="shared" si="0"/>
        <v>0</v>
      </c>
      <c r="L34" s="332">
        <f t="shared" si="1"/>
        <v>0</v>
      </c>
      <c r="M34" s="93"/>
      <c r="N34" s="96"/>
      <c r="O34" s="102"/>
    </row>
    <row r="35" ht="16.5" spans="1:15">
      <c r="A35" s="25">
        <v>45168</v>
      </c>
      <c r="B35" s="293">
        <f t="shared" si="2"/>
        <v>0</v>
      </c>
      <c r="C35" s="414"/>
      <c r="D35" s="33"/>
      <c r="E35" s="36"/>
      <c r="F35" s="303"/>
      <c r="G35" s="304"/>
      <c r="H35" s="304"/>
      <c r="I35" s="339"/>
      <c r="J35" s="418"/>
      <c r="K35" s="419">
        <f t="shared" si="0"/>
        <v>0</v>
      </c>
      <c r="L35" s="332">
        <f t="shared" si="1"/>
        <v>0</v>
      </c>
      <c r="M35" s="93"/>
      <c r="N35" s="96"/>
      <c r="O35" s="98"/>
    </row>
    <row r="36" ht="18" customHeight="1" spans="1:15">
      <c r="A36" s="25">
        <v>45169</v>
      </c>
      <c r="B36" s="293">
        <f t="shared" si="2"/>
        <v>0</v>
      </c>
      <c r="C36" s="415"/>
      <c r="D36" s="142"/>
      <c r="E36" s="142"/>
      <c r="F36" s="407"/>
      <c r="G36" s="408"/>
      <c r="H36" s="408"/>
      <c r="I36" s="423"/>
      <c r="J36" s="424"/>
      <c r="K36" s="425">
        <f t="shared" si="0"/>
        <v>0</v>
      </c>
      <c r="L36" s="426">
        <f t="shared" si="1"/>
        <v>0</v>
      </c>
      <c r="M36" s="427"/>
      <c r="N36" s="96"/>
      <c r="O36" s="105"/>
    </row>
    <row r="37" ht="15" spans="1:15">
      <c r="A37" s="43"/>
      <c r="B37" s="310"/>
      <c r="C37" s="311">
        <f t="shared" ref="C37:K37" si="3">SUM(C5:C36)</f>
        <v>0</v>
      </c>
      <c r="D37" s="46">
        <f t="shared" si="3"/>
        <v>0</v>
      </c>
      <c r="E37" s="416">
        <f t="shared" si="3"/>
        <v>0</v>
      </c>
      <c r="F37" s="312">
        <f t="shared" si="3"/>
        <v>0</v>
      </c>
      <c r="G37" s="313">
        <f t="shared" si="3"/>
        <v>0</v>
      </c>
      <c r="H37" s="314">
        <f t="shared" si="3"/>
        <v>0</v>
      </c>
      <c r="I37" s="313">
        <f t="shared" si="3"/>
        <v>0</v>
      </c>
      <c r="J37" s="313"/>
      <c r="K37" s="428">
        <f t="shared" si="3"/>
        <v>0</v>
      </c>
      <c r="L37" s="429">
        <f>SUM(B5+C37-D37-E37-K37)</f>
        <v>0</v>
      </c>
      <c r="M37" s="429"/>
      <c r="N37" s="108"/>
      <c r="O37" s="109"/>
    </row>
    <row r="39" ht="17.25" spans="1:13">
      <c r="A39" s="50" t="s">
        <v>20</v>
      </c>
      <c r="B39" s="51"/>
      <c r="C39" s="52" t="s">
        <v>21</v>
      </c>
      <c r="D39" s="53" t="s">
        <v>22</v>
      </c>
      <c r="E39" s="3"/>
      <c r="F39" s="3"/>
      <c r="G39" s="3"/>
      <c r="H39" s="50" t="s">
        <v>23</v>
      </c>
      <c r="I39" s="59" t="s">
        <v>24</v>
      </c>
      <c r="J39" s="3"/>
      <c r="K39" s="50" t="s">
        <v>25</v>
      </c>
      <c r="L39" s="3"/>
      <c r="M39" s="3"/>
    </row>
    <row r="40" ht="17.25" spans="1:13">
      <c r="A40" s="50"/>
      <c r="B40" s="51"/>
      <c r="C40" s="52"/>
      <c r="D40" s="53"/>
      <c r="E40" s="3"/>
      <c r="F40" s="3"/>
      <c r="G40" s="3"/>
      <c r="H40" s="50"/>
      <c r="I40" s="59"/>
      <c r="J40" s="3"/>
      <c r="K40" s="110" t="s">
        <v>49</v>
      </c>
      <c r="L40" s="111">
        <f>L37</f>
        <v>0</v>
      </c>
      <c r="M40" s="112" t="s">
        <v>27</v>
      </c>
    </row>
    <row r="41" ht="16.5" spans="1:13">
      <c r="A41" s="50"/>
      <c r="B41" s="51"/>
      <c r="C41" s="52"/>
      <c r="D41" s="53"/>
      <c r="E41" s="3"/>
      <c r="F41" s="3"/>
      <c r="G41" s="3"/>
      <c r="H41" s="50"/>
      <c r="I41" s="59"/>
      <c r="J41" s="3"/>
      <c r="K41" s="50"/>
      <c r="L41" s="3"/>
      <c r="M41" s="3"/>
    </row>
    <row r="42" ht="15" spans="9:13">
      <c r="I42" s="430"/>
      <c r="J42" s="430"/>
      <c r="K42" s="113" t="s">
        <v>28</v>
      </c>
      <c r="L42" s="115"/>
      <c r="M42" s="349"/>
    </row>
    <row r="43" spans="1:9">
      <c r="A43" s="55" t="s">
        <v>29</v>
      </c>
      <c r="B43" s="56" t="s">
        <v>30</v>
      </c>
      <c r="C43" s="57">
        <v>27</v>
      </c>
      <c r="D43" s="58"/>
      <c r="E43" s="3"/>
      <c r="F43" s="3"/>
      <c r="G43" s="3"/>
      <c r="H43" s="3"/>
      <c r="I43" s="3"/>
    </row>
    <row r="44" spans="1:9">
      <c r="A44" s="59" t="s">
        <v>31</v>
      </c>
      <c r="B44" s="60" t="s">
        <v>32</v>
      </c>
      <c r="C44" s="61">
        <f>(C37+B5)/C43</f>
        <v>0</v>
      </c>
      <c r="D44" s="58"/>
      <c r="E44" s="3"/>
      <c r="F44" s="3"/>
      <c r="G44" s="3"/>
      <c r="H44" s="3"/>
      <c r="I44" s="3"/>
    </row>
    <row r="45" spans="1:9">
      <c r="A45" s="59" t="s">
        <v>33</v>
      </c>
      <c r="B45" s="60" t="s">
        <v>34</v>
      </c>
      <c r="C45" s="61">
        <f>(B5+C37-D37)/C43</f>
        <v>0</v>
      </c>
      <c r="D45" s="58"/>
      <c r="E45" s="3"/>
      <c r="F45" s="3"/>
      <c r="G45" s="3"/>
      <c r="H45" s="3"/>
      <c r="I45" s="3"/>
    </row>
    <row r="46" ht="15" spans="1:9">
      <c r="A46" s="59" t="s">
        <v>23</v>
      </c>
      <c r="B46" s="60" t="s">
        <v>35</v>
      </c>
      <c r="C46" s="61">
        <f>H37/C43</f>
        <v>0</v>
      </c>
      <c r="D46" s="62" t="s">
        <v>36</v>
      </c>
      <c r="E46" s="62"/>
      <c r="F46" s="63"/>
      <c r="G46" s="64"/>
      <c r="H46" s="3" t="s">
        <v>37</v>
      </c>
      <c r="I46" s="3"/>
    </row>
    <row r="47" ht="17.25" spans="1:9">
      <c r="A47" s="59" t="s">
        <v>25</v>
      </c>
      <c r="B47" s="60" t="s">
        <v>38</v>
      </c>
      <c r="C47" s="61">
        <f>(K37)/C43</f>
        <v>0</v>
      </c>
      <c r="D47" s="65" t="s">
        <v>39</v>
      </c>
      <c r="E47" s="66">
        <f>(C45-C47)</f>
        <v>0</v>
      </c>
      <c r="F47" s="67"/>
      <c r="G47" s="3"/>
      <c r="H47" s="3"/>
      <c r="I47" s="3"/>
    </row>
    <row r="48" ht="17.25" spans="1:9">
      <c r="A48" s="59" t="s">
        <v>24</v>
      </c>
      <c r="B48" s="68" t="s">
        <v>40</v>
      </c>
      <c r="C48" s="69" t="e">
        <f>(I37/H37)</f>
        <v>#DIV/0!</v>
      </c>
      <c r="D48" s="70" t="s">
        <v>39</v>
      </c>
      <c r="E48" s="71" t="e">
        <f>E47/C45</f>
        <v>#DIV/0!</v>
      </c>
      <c r="F48" s="3"/>
      <c r="G48" s="3"/>
      <c r="H48" s="3"/>
      <c r="I48" s="3"/>
    </row>
    <row r="51" spans="4:4">
      <c r="D51" s="380" t="s">
        <v>47</v>
      </c>
    </row>
  </sheetData>
  <mergeCells count="12">
    <mergeCell ref="A1:O1"/>
    <mergeCell ref="F3:I3"/>
    <mergeCell ref="A3:A4"/>
    <mergeCell ref="B3:B4"/>
    <mergeCell ref="C3:C4"/>
    <mergeCell ref="D3:D4"/>
    <mergeCell ref="E3:E4"/>
    <mergeCell ref="K3:K4"/>
    <mergeCell ref="L3:L4"/>
    <mergeCell ref="M3:M4"/>
    <mergeCell ref="N3:N4"/>
    <mergeCell ref="O3:O5"/>
  </mergeCells>
  <pageMargins left="0.7" right="0.7" top="0.75" bottom="0.75" header="0.3" footer="0.3"/>
  <pageSetup paperSize="9" orientation="portrait" horizontalDpi="2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abSelected="1" topLeftCell="A4" workbookViewId="0">
      <selection activeCell="K30" sqref="K30"/>
    </sheetView>
  </sheetViews>
  <sheetFormatPr defaultColWidth="10.4416666666667" defaultRowHeight="14.25"/>
  <cols>
    <col min="1" max="1" width="12.6666666666667" style="2" customWidth="1"/>
    <col min="2" max="2" width="17.5583333333333" style="3" customWidth="1"/>
    <col min="3" max="3" width="13.875" style="3" customWidth="1"/>
    <col min="4" max="4" width="11.4416666666667" style="58" customWidth="1"/>
    <col min="5" max="5" width="10.8833333333333" style="3" customWidth="1"/>
    <col min="6" max="6" width="13.25" style="3" customWidth="1"/>
    <col min="7" max="7" width="12.625" style="3"/>
    <col min="8" max="8" width="12.5583333333333" style="3" customWidth="1"/>
    <col min="9" max="9" width="12.3333333333333" style="3" customWidth="1"/>
    <col min="10" max="10" width="13.5583333333333" style="3" customWidth="1"/>
    <col min="11" max="11" width="14.775" style="3" customWidth="1"/>
    <col min="12" max="12" width="12.2166666666667" style="3" customWidth="1"/>
    <col min="13" max="13" width="12.4416666666667" style="3" customWidth="1"/>
    <col min="14" max="14" width="13.5583333333333" style="5" customWidth="1"/>
    <col min="15" max="15" width="11.4416666666667" style="6" customWidth="1"/>
    <col min="16" max="16384" width="10.4416666666667" style="2"/>
  </cols>
  <sheetData>
    <row r="1" ht="30" spans="1:15">
      <c r="A1" s="7" t="s">
        <v>50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0.25" spans="1:12">
      <c r="A2" s="233" t="s">
        <v>1</v>
      </c>
      <c r="L2" s="3" t="s">
        <v>2</v>
      </c>
    </row>
    <row r="3" spans="1:15">
      <c r="A3" s="9" t="s">
        <v>3</v>
      </c>
      <c r="B3" s="10" t="s">
        <v>4</v>
      </c>
      <c r="C3" s="11" t="s">
        <v>5</v>
      </c>
      <c r="D3" s="74" t="s">
        <v>6</v>
      </c>
      <c r="E3" s="74" t="s">
        <v>7</v>
      </c>
      <c r="F3" s="12" t="s">
        <v>8</v>
      </c>
      <c r="G3" s="13"/>
      <c r="H3" s="13"/>
      <c r="I3" s="13"/>
      <c r="J3" s="83"/>
      <c r="K3" s="74" t="s">
        <v>9</v>
      </c>
      <c r="L3" s="74" t="s">
        <v>10</v>
      </c>
      <c r="M3" s="74" t="s">
        <v>11</v>
      </c>
      <c r="N3" s="381" t="s">
        <v>51</v>
      </c>
      <c r="O3" s="76" t="s">
        <v>13</v>
      </c>
    </row>
    <row r="4" ht="15" spans="1:15">
      <c r="A4" s="14"/>
      <c r="B4" s="15"/>
      <c r="C4" s="16"/>
      <c r="D4" s="80"/>
      <c r="E4" s="80"/>
      <c r="F4" s="17" t="s">
        <v>14</v>
      </c>
      <c r="G4" s="18" t="s">
        <v>15</v>
      </c>
      <c r="H4" s="18" t="s">
        <v>16</v>
      </c>
      <c r="I4" s="77" t="s">
        <v>17</v>
      </c>
      <c r="J4" s="382" t="s">
        <v>52</v>
      </c>
      <c r="K4" s="80"/>
      <c r="L4" s="80"/>
      <c r="M4" s="80"/>
      <c r="N4" s="383"/>
      <c r="O4" s="82"/>
    </row>
    <row r="5" ht="15" spans="1:15">
      <c r="A5" s="19" t="s">
        <v>19</v>
      </c>
      <c r="B5" s="20">
        <v>0</v>
      </c>
      <c r="C5" s="21"/>
      <c r="D5" s="12"/>
      <c r="E5" s="12"/>
      <c r="F5" s="23"/>
      <c r="G5" s="24"/>
      <c r="H5" s="24"/>
      <c r="I5" s="83"/>
      <c r="J5" s="83"/>
      <c r="K5" s="29"/>
      <c r="L5" s="384">
        <f>SUM(V4)</f>
        <v>0</v>
      </c>
      <c r="M5" s="277"/>
      <c r="N5" s="87"/>
      <c r="O5" s="88"/>
    </row>
    <row r="6" ht="16.5" spans="1:15">
      <c r="A6" s="25">
        <v>45108</v>
      </c>
      <c r="B6" s="26">
        <f>B5</f>
        <v>0</v>
      </c>
      <c r="C6" s="141"/>
      <c r="D6" s="235"/>
      <c r="E6" s="235"/>
      <c r="F6" s="143"/>
      <c r="G6" s="144"/>
      <c r="H6" s="144"/>
      <c r="I6" s="203"/>
      <c r="J6" s="203"/>
      <c r="K6" s="385">
        <f>SUM(H6+I6)</f>
        <v>0</v>
      </c>
      <c r="L6" s="92">
        <f>B6+C6-D6-E6-K6</f>
        <v>0</v>
      </c>
      <c r="M6" s="93"/>
      <c r="N6" s="94"/>
      <c r="O6" s="95"/>
    </row>
    <row r="7" s="359" customFormat="1" ht="16.5" spans="1:15">
      <c r="A7" s="25">
        <v>45109</v>
      </c>
      <c r="B7" s="26">
        <f>SUM(L6)</f>
        <v>0</v>
      </c>
      <c r="C7" s="141"/>
      <c r="D7" s="361"/>
      <c r="E7" s="362"/>
      <c r="F7" s="363"/>
      <c r="G7" s="364"/>
      <c r="H7" s="365"/>
      <c r="I7" s="386"/>
      <c r="J7" s="386"/>
      <c r="K7" s="387">
        <f t="shared" ref="K7:K36" si="0">SUM(H7+I7)</f>
        <v>0</v>
      </c>
      <c r="L7" s="388">
        <f t="shared" ref="L7:L36" si="1">B7+C7-D7-E7-K7</f>
        <v>0</v>
      </c>
      <c r="M7" s="389"/>
      <c r="N7" s="390"/>
      <c r="O7" s="391"/>
    </row>
    <row r="8" s="359" customFormat="1" ht="16.5" spans="1:15">
      <c r="A8" s="25">
        <v>45110</v>
      </c>
      <c r="B8" s="26">
        <f t="shared" ref="B8:B36" si="2">SUM(L7)</f>
        <v>0</v>
      </c>
      <c r="C8" s="141"/>
      <c r="D8" s="361"/>
      <c r="E8" s="362"/>
      <c r="F8" s="363"/>
      <c r="G8" s="364"/>
      <c r="H8" s="365"/>
      <c r="I8" s="386"/>
      <c r="J8" s="386"/>
      <c r="K8" s="387">
        <f t="shared" si="0"/>
        <v>0</v>
      </c>
      <c r="L8" s="388">
        <f t="shared" si="1"/>
        <v>0</v>
      </c>
      <c r="M8" s="389"/>
      <c r="N8" s="390"/>
      <c r="O8" s="392"/>
    </row>
    <row r="9" s="359" customFormat="1" ht="16.5" spans="1:15">
      <c r="A9" s="25">
        <v>45111</v>
      </c>
      <c r="B9" s="26">
        <f t="shared" si="2"/>
        <v>0</v>
      </c>
      <c r="C9" s="141"/>
      <c r="D9" s="366"/>
      <c r="E9" s="239"/>
      <c r="F9" s="363"/>
      <c r="G9" s="364"/>
      <c r="H9" s="365"/>
      <c r="I9" s="386"/>
      <c r="J9" s="386"/>
      <c r="K9" s="387">
        <f t="shared" si="0"/>
        <v>0</v>
      </c>
      <c r="L9" s="388">
        <f t="shared" si="1"/>
        <v>0</v>
      </c>
      <c r="M9" s="389"/>
      <c r="N9" s="390"/>
      <c r="O9" s="392"/>
    </row>
    <row r="10" s="359" customFormat="1" ht="16.5" spans="1:16">
      <c r="A10" s="25">
        <v>45112</v>
      </c>
      <c r="B10" s="26">
        <f t="shared" si="2"/>
        <v>0</v>
      </c>
      <c r="C10" s="141"/>
      <c r="D10" s="366"/>
      <c r="E10" s="239"/>
      <c r="F10" s="367"/>
      <c r="G10" s="365"/>
      <c r="H10" s="365"/>
      <c r="I10" s="353"/>
      <c r="J10" s="386"/>
      <c r="K10" s="387">
        <f t="shared" si="0"/>
        <v>0</v>
      </c>
      <c r="L10" s="388">
        <f t="shared" si="1"/>
        <v>0</v>
      </c>
      <c r="M10" s="389"/>
      <c r="N10" s="390"/>
      <c r="O10" s="392"/>
      <c r="P10" s="393"/>
    </row>
    <row r="11" s="359" customFormat="1" ht="16.5" spans="1:15">
      <c r="A11" s="25">
        <v>45113</v>
      </c>
      <c r="B11" s="26">
        <f t="shared" si="2"/>
        <v>0</v>
      </c>
      <c r="C11" s="141">
        <v>2016.5825</v>
      </c>
      <c r="D11" s="368"/>
      <c r="E11" s="239"/>
      <c r="F11" s="367">
        <v>1236</v>
      </c>
      <c r="G11" s="365">
        <v>17</v>
      </c>
      <c r="H11" s="365">
        <v>1219</v>
      </c>
      <c r="I11" s="353">
        <v>22.5</v>
      </c>
      <c r="J11" s="386"/>
      <c r="K11" s="387">
        <f t="shared" si="0"/>
        <v>1241.5</v>
      </c>
      <c r="L11" s="388">
        <f t="shared" si="1"/>
        <v>775.0825</v>
      </c>
      <c r="M11" s="389" t="s">
        <v>53</v>
      </c>
      <c r="N11" s="390"/>
      <c r="O11" s="392"/>
    </row>
    <row r="12" s="359" customFormat="1" ht="16.5" spans="1:15">
      <c r="A12" s="25">
        <v>45114</v>
      </c>
      <c r="B12" s="26">
        <f t="shared" si="2"/>
        <v>775.0825</v>
      </c>
      <c r="C12" s="141">
        <v>13381.922</v>
      </c>
      <c r="D12" s="366"/>
      <c r="E12" s="239"/>
      <c r="F12" s="367">
        <v>2373</v>
      </c>
      <c r="G12" s="365">
        <v>108</v>
      </c>
      <c r="H12" s="365">
        <v>2265</v>
      </c>
      <c r="I12" s="353">
        <v>68.5</v>
      </c>
      <c r="J12" s="386"/>
      <c r="K12" s="387">
        <f t="shared" si="0"/>
        <v>2333.5</v>
      </c>
      <c r="L12" s="388">
        <f t="shared" si="1"/>
        <v>11823.5045</v>
      </c>
      <c r="M12" s="389" t="s">
        <v>54</v>
      </c>
      <c r="N12" s="390"/>
      <c r="O12" s="392"/>
    </row>
    <row r="13" s="359" customFormat="1" ht="16.5" spans="1:15">
      <c r="A13" s="25">
        <v>45115</v>
      </c>
      <c r="B13" s="26">
        <f t="shared" si="2"/>
        <v>11823.5045</v>
      </c>
      <c r="C13" s="141">
        <f>1147.185+2205</f>
        <v>3352.185</v>
      </c>
      <c r="D13" s="366"/>
      <c r="E13" s="239"/>
      <c r="F13" s="367">
        <v>3066</v>
      </c>
      <c r="G13" s="365">
        <v>164</v>
      </c>
      <c r="H13" s="365">
        <v>2902</v>
      </c>
      <c r="I13" s="353">
        <v>239.3</v>
      </c>
      <c r="J13" s="386"/>
      <c r="K13" s="387">
        <f t="shared" si="0"/>
        <v>3141.3</v>
      </c>
      <c r="L13" s="388">
        <f t="shared" si="1"/>
        <v>12034.3895</v>
      </c>
      <c r="M13" s="389" t="s">
        <v>55</v>
      </c>
      <c r="N13" s="390"/>
      <c r="O13" s="392"/>
    </row>
    <row r="14" s="359" customFormat="1" ht="16.5" spans="1:15">
      <c r="A14" s="25">
        <v>45116</v>
      </c>
      <c r="B14" s="26">
        <f t="shared" si="2"/>
        <v>12034.3895</v>
      </c>
      <c r="C14" s="141"/>
      <c r="D14" s="366"/>
      <c r="E14" s="239"/>
      <c r="F14" s="367"/>
      <c r="G14" s="365"/>
      <c r="H14" s="365"/>
      <c r="I14" s="353"/>
      <c r="J14" s="386"/>
      <c r="K14" s="387">
        <f t="shared" si="0"/>
        <v>0</v>
      </c>
      <c r="L14" s="388">
        <f t="shared" si="1"/>
        <v>12034.3895</v>
      </c>
      <c r="M14" s="389"/>
      <c r="N14" s="390"/>
      <c r="O14" s="392"/>
    </row>
    <row r="15" ht="16.5" spans="1:15">
      <c r="A15" s="25">
        <v>45117</v>
      </c>
      <c r="B15" s="26">
        <f t="shared" si="2"/>
        <v>12034.3895</v>
      </c>
      <c r="C15" s="141">
        <v>358.2475</v>
      </c>
      <c r="D15" s="366">
        <f>7275.18+1197.1+722</f>
        <v>9194.28</v>
      </c>
      <c r="E15" s="369">
        <v>17</v>
      </c>
      <c r="F15" s="367">
        <v>1878</v>
      </c>
      <c r="G15" s="365">
        <v>38</v>
      </c>
      <c r="H15" s="365">
        <v>1840</v>
      </c>
      <c r="I15" s="353">
        <v>23</v>
      </c>
      <c r="J15" s="386">
        <v>48</v>
      </c>
      <c r="K15" s="387">
        <f t="shared" si="0"/>
        <v>1863</v>
      </c>
      <c r="L15" s="388">
        <f t="shared" si="1"/>
        <v>1318.357</v>
      </c>
      <c r="M15" s="389" t="s">
        <v>56</v>
      </c>
      <c r="N15" s="390"/>
      <c r="O15" s="98"/>
    </row>
    <row r="16" s="359" customFormat="1" ht="16.5" spans="1:15">
      <c r="A16" s="25">
        <v>45118</v>
      </c>
      <c r="B16" s="26">
        <f t="shared" si="2"/>
        <v>1318.357</v>
      </c>
      <c r="C16" s="141">
        <v>10848.24</v>
      </c>
      <c r="D16" s="366"/>
      <c r="E16" s="239"/>
      <c r="F16" s="367">
        <v>9912</v>
      </c>
      <c r="G16" s="365">
        <v>578</v>
      </c>
      <c r="H16" s="365">
        <v>9334</v>
      </c>
      <c r="I16" s="353">
        <v>57.5</v>
      </c>
      <c r="J16" s="386">
        <v>45.5</v>
      </c>
      <c r="K16" s="387">
        <f t="shared" si="0"/>
        <v>9391.5</v>
      </c>
      <c r="L16" s="388">
        <f t="shared" si="1"/>
        <v>2775.097</v>
      </c>
      <c r="M16" s="389" t="s">
        <v>57</v>
      </c>
      <c r="N16" s="390"/>
      <c r="O16" s="392"/>
    </row>
    <row r="17" s="359" customFormat="1" ht="16.5" spans="1:15">
      <c r="A17" s="25">
        <v>45119</v>
      </c>
      <c r="B17" s="26">
        <f t="shared" si="2"/>
        <v>2775.097</v>
      </c>
      <c r="C17" s="141">
        <v>6949.7025</v>
      </c>
      <c r="D17" s="366"/>
      <c r="E17" s="239"/>
      <c r="F17" s="367">
        <v>10165</v>
      </c>
      <c r="G17" s="365">
        <v>710</v>
      </c>
      <c r="H17" s="365">
        <v>9455</v>
      </c>
      <c r="I17" s="353">
        <v>133.5</v>
      </c>
      <c r="J17" s="386"/>
      <c r="K17" s="387">
        <f t="shared" si="0"/>
        <v>9588.5</v>
      </c>
      <c r="L17" s="388">
        <f t="shared" si="1"/>
        <v>136.299500000001</v>
      </c>
      <c r="M17" s="389" t="s">
        <v>57</v>
      </c>
      <c r="N17" s="390"/>
      <c r="O17" s="392"/>
    </row>
    <row r="18" s="359" customFormat="1" ht="16.5" spans="1:16">
      <c r="A18" s="25">
        <v>45120</v>
      </c>
      <c r="B18" s="26">
        <f t="shared" si="2"/>
        <v>136.299500000001</v>
      </c>
      <c r="C18" s="141">
        <v>1671.6275</v>
      </c>
      <c r="D18" s="366"/>
      <c r="E18" s="239"/>
      <c r="F18" s="367">
        <v>1557</v>
      </c>
      <c r="G18" s="365">
        <v>28</v>
      </c>
      <c r="H18" s="365">
        <v>1529</v>
      </c>
      <c r="I18" s="353">
        <v>75.6</v>
      </c>
      <c r="J18" s="386"/>
      <c r="K18" s="387">
        <f t="shared" si="0"/>
        <v>1604.6</v>
      </c>
      <c r="L18" s="388">
        <f t="shared" si="1"/>
        <v>203.327000000001</v>
      </c>
      <c r="M18" s="389" t="s">
        <v>58</v>
      </c>
      <c r="N18" s="390"/>
      <c r="O18" s="392"/>
      <c r="P18" s="393"/>
    </row>
    <row r="19" s="359" customFormat="1" ht="16.5" spans="1:15">
      <c r="A19" s="25">
        <v>45121</v>
      </c>
      <c r="B19" s="26">
        <f t="shared" si="2"/>
        <v>203.327000000001</v>
      </c>
      <c r="C19" s="141">
        <f>423.1325+4541.8725</f>
        <v>4965.005</v>
      </c>
      <c r="D19" s="366"/>
      <c r="E19" s="239"/>
      <c r="F19" s="367">
        <v>3371</v>
      </c>
      <c r="G19" s="365">
        <v>41</v>
      </c>
      <c r="H19" s="365">
        <v>3330</v>
      </c>
      <c r="I19" s="353">
        <v>34.7</v>
      </c>
      <c r="J19" s="386"/>
      <c r="K19" s="387">
        <f t="shared" si="0"/>
        <v>3364.7</v>
      </c>
      <c r="L19" s="388">
        <f t="shared" si="1"/>
        <v>1803.632</v>
      </c>
      <c r="M19" s="389" t="s">
        <v>59</v>
      </c>
      <c r="N19" s="390"/>
      <c r="O19" s="392"/>
    </row>
    <row r="20" s="359" customFormat="1" ht="16.5" spans="1:15">
      <c r="A20" s="25">
        <v>45122</v>
      </c>
      <c r="B20" s="26">
        <f t="shared" si="2"/>
        <v>1803.632</v>
      </c>
      <c r="C20" s="141">
        <v>5153.2525</v>
      </c>
      <c r="D20" s="366"/>
      <c r="E20" s="239"/>
      <c r="F20" s="367">
        <v>3562</v>
      </c>
      <c r="G20" s="365">
        <v>55</v>
      </c>
      <c r="H20" s="365">
        <v>3507</v>
      </c>
      <c r="I20" s="353">
        <v>29.6</v>
      </c>
      <c r="J20" s="386"/>
      <c r="K20" s="387">
        <f t="shared" si="0"/>
        <v>3536.6</v>
      </c>
      <c r="L20" s="388">
        <f t="shared" si="1"/>
        <v>3420.2845</v>
      </c>
      <c r="M20" s="389" t="s">
        <v>60</v>
      </c>
      <c r="N20" s="390"/>
      <c r="O20" s="392"/>
    </row>
    <row r="21" s="359" customFormat="1" ht="16.5" spans="1:15">
      <c r="A21" s="25">
        <v>45123</v>
      </c>
      <c r="B21" s="26">
        <f t="shared" si="2"/>
        <v>3420.2845</v>
      </c>
      <c r="C21" s="141"/>
      <c r="D21" s="366"/>
      <c r="E21" s="239"/>
      <c r="F21" s="367"/>
      <c r="G21" s="365"/>
      <c r="H21" s="365"/>
      <c r="I21" s="353"/>
      <c r="J21" s="386"/>
      <c r="K21" s="387">
        <f t="shared" si="0"/>
        <v>0</v>
      </c>
      <c r="L21" s="388">
        <f t="shared" si="1"/>
        <v>3420.2845</v>
      </c>
      <c r="M21" s="389"/>
      <c r="N21" s="390"/>
      <c r="O21" s="392"/>
    </row>
    <row r="22" s="359" customFormat="1" ht="16.5" spans="1:15">
      <c r="A22" s="25">
        <v>45124</v>
      </c>
      <c r="B22" s="26">
        <f t="shared" si="2"/>
        <v>3420.2845</v>
      </c>
      <c r="C22" s="141">
        <v>15123.2625</v>
      </c>
      <c r="D22" s="366"/>
      <c r="E22" s="239"/>
      <c r="F22" s="367">
        <v>13180</v>
      </c>
      <c r="G22" s="365">
        <v>447</v>
      </c>
      <c r="H22" s="365">
        <v>12733</v>
      </c>
      <c r="I22" s="353">
        <v>202.7</v>
      </c>
      <c r="J22" s="386">
        <v>71</v>
      </c>
      <c r="K22" s="387">
        <f t="shared" si="0"/>
        <v>12935.7</v>
      </c>
      <c r="L22" s="388">
        <f t="shared" si="1"/>
        <v>5607.847</v>
      </c>
      <c r="M22" s="389" t="s">
        <v>61</v>
      </c>
      <c r="N22" s="390"/>
      <c r="O22" s="392"/>
    </row>
    <row r="23" ht="16.5" spans="1:15">
      <c r="A23" s="25">
        <v>45125</v>
      </c>
      <c r="B23" s="26">
        <f t="shared" si="2"/>
        <v>5607.847</v>
      </c>
      <c r="C23" s="141">
        <v>15903.72</v>
      </c>
      <c r="D23" s="366">
        <v>30</v>
      </c>
      <c r="E23" s="370">
        <v>9.8</v>
      </c>
      <c r="F23" s="367">
        <v>17489</v>
      </c>
      <c r="G23" s="365">
        <v>648</v>
      </c>
      <c r="H23" s="365">
        <v>16841</v>
      </c>
      <c r="I23" s="353">
        <v>8.2</v>
      </c>
      <c r="J23" s="386">
        <v>69</v>
      </c>
      <c r="K23" s="387">
        <f t="shared" si="0"/>
        <v>16849.2</v>
      </c>
      <c r="L23" s="388">
        <f t="shared" si="1"/>
        <v>4622.567</v>
      </c>
      <c r="M23" s="389" t="s">
        <v>61</v>
      </c>
      <c r="N23" s="394"/>
      <c r="O23" s="98"/>
    </row>
    <row r="24" s="359" customFormat="1" ht="16.5" spans="1:15">
      <c r="A24" s="25">
        <v>45126</v>
      </c>
      <c r="B24" s="26">
        <f t="shared" si="2"/>
        <v>4622.567</v>
      </c>
      <c r="C24" s="141">
        <v>12144.3975</v>
      </c>
      <c r="D24" s="366">
        <v>181.7815</v>
      </c>
      <c r="E24" s="239"/>
      <c r="F24" s="367">
        <v>14771</v>
      </c>
      <c r="G24" s="365">
        <v>755</v>
      </c>
      <c r="H24" s="365">
        <v>14016</v>
      </c>
      <c r="I24" s="353">
        <v>44.8</v>
      </c>
      <c r="J24" s="386">
        <v>70</v>
      </c>
      <c r="K24" s="387">
        <f t="shared" si="0"/>
        <v>14060.8</v>
      </c>
      <c r="L24" s="388">
        <f t="shared" si="1"/>
        <v>2524.383</v>
      </c>
      <c r="M24" s="389" t="s">
        <v>62</v>
      </c>
      <c r="N24" s="390"/>
      <c r="O24" s="395"/>
    </row>
    <row r="25" s="359" customFormat="1" ht="16.5" spans="1:15">
      <c r="A25" s="25">
        <v>45127</v>
      </c>
      <c r="B25" s="26">
        <f t="shared" si="2"/>
        <v>2524.383</v>
      </c>
      <c r="C25" s="141">
        <f>13485.1575+3058.8825</f>
        <v>16544.04</v>
      </c>
      <c r="D25" s="366"/>
      <c r="E25" s="239"/>
      <c r="F25" s="367">
        <v>16190</v>
      </c>
      <c r="G25" s="365">
        <v>843</v>
      </c>
      <c r="H25" s="365">
        <v>15347</v>
      </c>
      <c r="I25" s="353">
        <v>20.8</v>
      </c>
      <c r="J25" s="386"/>
      <c r="K25" s="387">
        <f t="shared" si="0"/>
        <v>15367.8</v>
      </c>
      <c r="L25" s="388">
        <f t="shared" si="1"/>
        <v>3700.623</v>
      </c>
      <c r="M25" s="389" t="s">
        <v>63</v>
      </c>
      <c r="N25" s="390"/>
      <c r="O25" s="392"/>
    </row>
    <row r="26" s="359" customFormat="1" ht="16.5" spans="1:15">
      <c r="A26" s="25">
        <v>45128</v>
      </c>
      <c r="B26" s="26">
        <f t="shared" si="2"/>
        <v>3700.623</v>
      </c>
      <c r="C26" s="141">
        <v>4762.1125</v>
      </c>
      <c r="D26" s="366"/>
      <c r="E26" s="239"/>
      <c r="F26" s="367">
        <v>7438</v>
      </c>
      <c r="G26" s="365">
        <v>247</v>
      </c>
      <c r="H26" s="365">
        <v>7191</v>
      </c>
      <c r="I26" s="353">
        <v>73.9</v>
      </c>
      <c r="J26" s="386"/>
      <c r="K26" s="387">
        <f t="shared" si="0"/>
        <v>7264.9</v>
      </c>
      <c r="L26" s="388">
        <f t="shared" si="1"/>
        <v>1197.8355</v>
      </c>
      <c r="M26" s="389" t="s">
        <v>64</v>
      </c>
      <c r="N26" s="390"/>
      <c r="O26" s="392"/>
    </row>
    <row r="27" ht="16.5" spans="1:16">
      <c r="A27" s="25">
        <v>45129</v>
      </c>
      <c r="B27" s="26">
        <f t="shared" si="2"/>
        <v>1197.8355</v>
      </c>
      <c r="C27" s="141">
        <v>1515.2025</v>
      </c>
      <c r="D27" s="366"/>
      <c r="E27" s="239"/>
      <c r="F27" s="367">
        <v>1608</v>
      </c>
      <c r="G27" s="365">
        <v>42</v>
      </c>
      <c r="H27" s="365">
        <v>1566</v>
      </c>
      <c r="I27" s="353">
        <v>18.9</v>
      </c>
      <c r="J27" s="386">
        <v>67</v>
      </c>
      <c r="K27" s="387">
        <f t="shared" si="0"/>
        <v>1584.9</v>
      </c>
      <c r="L27" s="388">
        <f t="shared" si="1"/>
        <v>1128.138</v>
      </c>
      <c r="M27" s="389" t="s">
        <v>65</v>
      </c>
      <c r="N27" s="390"/>
      <c r="O27" s="98"/>
      <c r="P27" s="100"/>
    </row>
    <row r="28" ht="16.5" spans="1:15">
      <c r="A28" s="25">
        <v>45130</v>
      </c>
      <c r="B28" s="26">
        <f t="shared" si="2"/>
        <v>1128.138</v>
      </c>
      <c r="C28" s="141"/>
      <c r="D28" s="366"/>
      <c r="E28" s="239"/>
      <c r="F28" s="367"/>
      <c r="G28" s="365"/>
      <c r="H28" s="365"/>
      <c r="I28" s="386"/>
      <c r="J28" s="386"/>
      <c r="K28" s="387">
        <f t="shared" si="0"/>
        <v>0</v>
      </c>
      <c r="L28" s="388">
        <f t="shared" si="1"/>
        <v>1128.138</v>
      </c>
      <c r="M28" s="389"/>
      <c r="N28" s="390"/>
      <c r="O28" s="98"/>
    </row>
    <row r="29" ht="16.5" spans="1:15">
      <c r="A29" s="25">
        <v>45131</v>
      </c>
      <c r="B29" s="26">
        <f t="shared" si="2"/>
        <v>1128.138</v>
      </c>
      <c r="C29" s="141">
        <v>5486.7475</v>
      </c>
      <c r="D29" s="366"/>
      <c r="E29" s="239"/>
      <c r="F29" s="367">
        <v>5249</v>
      </c>
      <c r="G29" s="365">
        <v>103</v>
      </c>
      <c r="H29" s="365">
        <v>5146</v>
      </c>
      <c r="I29" s="353">
        <v>109.5</v>
      </c>
      <c r="J29" s="386"/>
      <c r="K29" s="387">
        <f t="shared" si="0"/>
        <v>5255.5</v>
      </c>
      <c r="L29" s="388">
        <f t="shared" si="1"/>
        <v>1359.3855</v>
      </c>
      <c r="M29" s="389" t="s">
        <v>66</v>
      </c>
      <c r="N29" s="390"/>
      <c r="O29" s="98"/>
    </row>
    <row r="30" ht="16.5" spans="1:15">
      <c r="A30" s="25">
        <v>45132</v>
      </c>
      <c r="B30" s="26">
        <f t="shared" si="2"/>
        <v>1359.3855</v>
      </c>
      <c r="C30" s="141">
        <v>13680.9625</v>
      </c>
      <c r="D30" s="366"/>
      <c r="E30" s="239"/>
      <c r="F30" s="367">
        <v>10294</v>
      </c>
      <c r="G30" s="365">
        <v>697</v>
      </c>
      <c r="H30" s="365">
        <v>9597</v>
      </c>
      <c r="I30" s="353">
        <v>124.4</v>
      </c>
      <c r="J30" s="386">
        <v>65</v>
      </c>
      <c r="K30" s="387">
        <f t="shared" si="0"/>
        <v>9721.4</v>
      </c>
      <c r="L30" s="388">
        <f t="shared" si="1"/>
        <v>5318.948</v>
      </c>
      <c r="M30" s="389" t="s">
        <v>67</v>
      </c>
      <c r="N30" s="390"/>
      <c r="O30" s="98"/>
    </row>
    <row r="31" s="359" customFormat="1" ht="16.5" spans="1:15">
      <c r="A31" s="25">
        <v>45133</v>
      </c>
      <c r="B31" s="26">
        <f t="shared" si="2"/>
        <v>5318.948</v>
      </c>
      <c r="C31" s="366">
        <v>15652.66</v>
      </c>
      <c r="D31" s="366"/>
      <c r="E31" s="239"/>
      <c r="F31" s="367"/>
      <c r="G31" s="365"/>
      <c r="H31" s="365"/>
      <c r="I31" s="353"/>
      <c r="J31" s="386"/>
      <c r="K31" s="387">
        <f t="shared" si="0"/>
        <v>0</v>
      </c>
      <c r="L31" s="388">
        <f t="shared" si="1"/>
        <v>20971.608</v>
      </c>
      <c r="M31" s="389"/>
      <c r="N31" s="390"/>
      <c r="O31" s="392"/>
    </row>
    <row r="32" s="359" customFormat="1" ht="16.5" spans="1:15">
      <c r="A32" s="25">
        <v>45134</v>
      </c>
      <c r="B32" s="26">
        <f t="shared" si="2"/>
        <v>20971.608</v>
      </c>
      <c r="C32" s="366"/>
      <c r="D32" s="366"/>
      <c r="E32" s="239"/>
      <c r="F32" s="367"/>
      <c r="G32" s="365"/>
      <c r="H32" s="365"/>
      <c r="I32" s="353"/>
      <c r="J32" s="386"/>
      <c r="K32" s="387">
        <f t="shared" si="0"/>
        <v>0</v>
      </c>
      <c r="L32" s="388">
        <f t="shared" si="1"/>
        <v>20971.608</v>
      </c>
      <c r="M32" s="389"/>
      <c r="N32" s="390"/>
      <c r="O32" s="392"/>
    </row>
    <row r="33" s="359" customFormat="1" ht="16.5" spans="1:16">
      <c r="A33" s="25">
        <v>45135</v>
      </c>
      <c r="B33" s="26">
        <f t="shared" si="2"/>
        <v>20971.608</v>
      </c>
      <c r="C33" s="239"/>
      <c r="D33" s="366"/>
      <c r="E33" s="239"/>
      <c r="F33" s="367"/>
      <c r="G33" s="365"/>
      <c r="H33" s="365"/>
      <c r="I33" s="353"/>
      <c r="J33" s="386"/>
      <c r="K33" s="387">
        <f t="shared" si="0"/>
        <v>0</v>
      </c>
      <c r="L33" s="388">
        <f t="shared" si="1"/>
        <v>20971.608</v>
      </c>
      <c r="M33" s="389"/>
      <c r="N33" s="390"/>
      <c r="O33" s="392"/>
      <c r="P33" s="393"/>
    </row>
    <row r="34" s="360" customFormat="1" ht="16.5" spans="1:15">
      <c r="A34" s="25">
        <v>45136</v>
      </c>
      <c r="B34" s="26">
        <f t="shared" si="2"/>
        <v>20971.608</v>
      </c>
      <c r="C34" s="239"/>
      <c r="D34" s="366"/>
      <c r="E34" s="239"/>
      <c r="F34" s="367"/>
      <c r="G34" s="365"/>
      <c r="H34" s="365"/>
      <c r="I34" s="353"/>
      <c r="J34" s="386"/>
      <c r="K34" s="387">
        <f t="shared" si="0"/>
        <v>0</v>
      </c>
      <c r="L34" s="388">
        <f t="shared" si="1"/>
        <v>20971.608</v>
      </c>
      <c r="M34" s="389"/>
      <c r="N34" s="390"/>
      <c r="O34" s="396"/>
    </row>
    <row r="35" ht="17.25" spans="1:15">
      <c r="A35" s="25">
        <v>45137</v>
      </c>
      <c r="B35" s="26">
        <f t="shared" si="2"/>
        <v>20971.608</v>
      </c>
      <c r="C35" s="239"/>
      <c r="D35" s="366"/>
      <c r="E35" s="371"/>
      <c r="F35" s="367"/>
      <c r="G35" s="365"/>
      <c r="H35" s="365"/>
      <c r="I35" s="386"/>
      <c r="J35" s="386"/>
      <c r="K35" s="397">
        <f t="shared" si="0"/>
        <v>0</v>
      </c>
      <c r="L35" s="388">
        <f t="shared" si="1"/>
        <v>20971.608</v>
      </c>
      <c r="M35" s="389"/>
      <c r="N35" s="390"/>
      <c r="O35" s="98"/>
    </row>
    <row r="36" s="359" customFormat="1" ht="18" customHeight="1" spans="1:15">
      <c r="A36" s="25">
        <v>45138</v>
      </c>
      <c r="B36" s="26">
        <f t="shared" si="2"/>
        <v>20971.608</v>
      </c>
      <c r="C36" s="372"/>
      <c r="D36" s="373"/>
      <c r="E36" s="374"/>
      <c r="F36" s="375"/>
      <c r="G36" s="376"/>
      <c r="H36" s="377"/>
      <c r="I36" s="398"/>
      <c r="J36" s="399"/>
      <c r="K36" s="400">
        <f t="shared" si="0"/>
        <v>0</v>
      </c>
      <c r="L36" s="388">
        <f t="shared" si="1"/>
        <v>20971.608</v>
      </c>
      <c r="M36" s="401"/>
      <c r="N36" s="390"/>
      <c r="O36" s="402"/>
    </row>
    <row r="37" ht="15" spans="1:15">
      <c r="A37" s="378"/>
      <c r="B37" s="374"/>
      <c r="C37" s="379">
        <f>SUM(C5:C36)</f>
        <v>149509.8695</v>
      </c>
      <c r="D37" s="242">
        <f t="shared" ref="D37:K37" si="3">SUM(D5:D36)</f>
        <v>9406.0615</v>
      </c>
      <c r="E37" s="243">
        <f t="shared" si="3"/>
        <v>26.8</v>
      </c>
      <c r="F37" s="106">
        <f t="shared" si="3"/>
        <v>123339</v>
      </c>
      <c r="G37" s="106">
        <f t="shared" si="3"/>
        <v>5521</v>
      </c>
      <c r="H37" s="106">
        <f t="shared" si="3"/>
        <v>117818</v>
      </c>
      <c r="I37" s="106">
        <f t="shared" si="3"/>
        <v>1287.4</v>
      </c>
      <c r="J37" s="49"/>
      <c r="K37" s="403">
        <f t="shared" si="3"/>
        <v>119105.4</v>
      </c>
      <c r="L37" s="404">
        <f>SUM(B5+C37-D37-E37-K37)</f>
        <v>20971.608</v>
      </c>
      <c r="M37" s="107"/>
      <c r="N37" s="405"/>
      <c r="O37" s="109"/>
    </row>
    <row r="39" ht="17.25" spans="1:11">
      <c r="A39" s="50" t="s">
        <v>20</v>
      </c>
      <c r="B39" s="51"/>
      <c r="C39" s="52" t="s">
        <v>21</v>
      </c>
      <c r="D39" s="53" t="s">
        <v>22</v>
      </c>
      <c r="H39" s="50" t="s">
        <v>23</v>
      </c>
      <c r="I39" s="59" t="s">
        <v>24</v>
      </c>
      <c r="K39" s="50" t="s">
        <v>25</v>
      </c>
    </row>
    <row r="40" ht="15" spans="11:13">
      <c r="K40" s="110" t="s">
        <v>68</v>
      </c>
      <c r="L40" s="111">
        <f>L37</f>
        <v>20971.608</v>
      </c>
      <c r="M40" s="112" t="s">
        <v>27</v>
      </c>
    </row>
    <row r="41" spans="14:15">
      <c r="N41" s="114"/>
      <c r="O41" s="114"/>
    </row>
    <row r="42" ht="15" spans="2:12">
      <c r="B42" s="54"/>
      <c r="K42" s="113" t="s">
        <v>28</v>
      </c>
      <c r="L42" s="115"/>
    </row>
    <row r="43" spans="1:3">
      <c r="A43" s="55" t="s">
        <v>29</v>
      </c>
      <c r="B43" s="56" t="s">
        <v>30</v>
      </c>
      <c r="C43" s="57"/>
    </row>
    <row r="44" spans="1:3">
      <c r="A44" s="59" t="s">
        <v>31</v>
      </c>
      <c r="B44" s="60" t="s">
        <v>32</v>
      </c>
      <c r="C44" s="61" t="e">
        <f>(C37+B5)/C43</f>
        <v>#DIV/0!</v>
      </c>
    </row>
    <row r="45" spans="1:3">
      <c r="A45" s="59" t="s">
        <v>33</v>
      </c>
      <c r="B45" s="60" t="s">
        <v>34</v>
      </c>
      <c r="C45" s="61" t="e">
        <f>(B5+C37-D37)/C43</f>
        <v>#DIV/0!</v>
      </c>
    </row>
    <row r="46" ht="15" spans="1:8">
      <c r="A46" s="59" t="s">
        <v>23</v>
      </c>
      <c r="B46" s="60" t="s">
        <v>35</v>
      </c>
      <c r="C46" s="61" t="e">
        <f>H37/C43</f>
        <v>#DIV/0!</v>
      </c>
      <c r="D46" s="62" t="s">
        <v>36</v>
      </c>
      <c r="E46" s="62"/>
      <c r="F46" s="63"/>
      <c r="G46" s="64"/>
      <c r="H46" s="3" t="s">
        <v>37</v>
      </c>
    </row>
    <row r="47" ht="17.25" spans="1:6">
      <c r="A47" s="59" t="s">
        <v>25</v>
      </c>
      <c r="B47" s="60" t="s">
        <v>38</v>
      </c>
      <c r="C47" s="61" t="e">
        <f>(K37)/C43</f>
        <v>#DIV/0!</v>
      </c>
      <c r="D47" s="65" t="s">
        <v>39</v>
      </c>
      <c r="E47" s="66" t="e">
        <f>(C45-C47)</f>
        <v>#DIV/0!</v>
      </c>
      <c r="F47" s="67"/>
    </row>
    <row r="48" ht="17.25" spans="1:5">
      <c r="A48" s="59" t="s">
        <v>24</v>
      </c>
      <c r="B48" s="68" t="s">
        <v>40</v>
      </c>
      <c r="C48" s="69">
        <f>(I37/H37)</f>
        <v>0.0109270230355294</v>
      </c>
      <c r="D48" s="70" t="s">
        <v>39</v>
      </c>
      <c r="E48" s="71" t="e">
        <f>E47/C45</f>
        <v>#DIV/0!</v>
      </c>
    </row>
    <row r="50" spans="7:9">
      <c r="G50" s="380"/>
      <c r="H50" s="380"/>
      <c r="I50" s="380"/>
    </row>
    <row r="51" spans="4:4">
      <c r="D51" s="380" t="s">
        <v>47</v>
      </c>
    </row>
  </sheetData>
  <mergeCells count="12">
    <mergeCell ref="A1:O1"/>
    <mergeCell ref="F3:I3"/>
    <mergeCell ref="A3:A4"/>
    <mergeCell ref="B3:B4"/>
    <mergeCell ref="C3:C4"/>
    <mergeCell ref="D3:D4"/>
    <mergeCell ref="E3:E4"/>
    <mergeCell ref="K3:K4"/>
    <mergeCell ref="L3:L4"/>
    <mergeCell ref="M3:M4"/>
    <mergeCell ref="N3:N4"/>
    <mergeCell ref="O3:O5"/>
  </mergeCells>
  <pageMargins left="0.7" right="0.7" top="0.75" bottom="0.75" header="0.3" footer="0.3"/>
  <pageSetup paperSize="9" orientation="portrait" horizontalDpi="200" verticalDpi="300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8"/>
  <sheetViews>
    <sheetView topLeftCell="A10" workbookViewId="0">
      <selection activeCell="Q25" sqref="Q25"/>
    </sheetView>
  </sheetViews>
  <sheetFormatPr defaultColWidth="10.4416666666667" defaultRowHeight="14.25"/>
  <cols>
    <col min="1" max="1" width="12.775" style="2" customWidth="1"/>
    <col min="2" max="2" width="17.4416666666667" style="3" customWidth="1"/>
    <col min="3" max="3" width="13.75" style="3" customWidth="1"/>
    <col min="4" max="4" width="10.4416666666667" style="58"/>
    <col min="5" max="5" width="10.4416666666667" style="3"/>
    <col min="6" max="6" width="12.5583333333333" style="3" customWidth="1"/>
    <col min="7" max="7" width="13.75" style="3"/>
    <col min="8" max="8" width="13.6666666666667" style="3" customWidth="1"/>
    <col min="9" max="9" width="11.4416666666667" style="3" customWidth="1"/>
    <col min="10" max="10" width="14.4416666666667" style="3" customWidth="1"/>
    <col min="11" max="11" width="14" style="3" customWidth="1"/>
    <col min="12" max="12" width="13.375" style="3" customWidth="1"/>
    <col min="13" max="13" width="12.4416666666667" style="3" customWidth="1"/>
    <col min="14" max="14" width="15.3333333333333" style="5" customWidth="1"/>
    <col min="15" max="15" width="10.4416666666667" style="6"/>
    <col min="16" max="16384" width="10.4416666666667" style="2"/>
  </cols>
  <sheetData>
    <row r="1" ht="30" spans="1:15">
      <c r="A1" s="7" t="s">
        <v>69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0.25" spans="1:12">
      <c r="A2" s="233" t="s">
        <v>1</v>
      </c>
      <c r="L2" s="3" t="s">
        <v>2</v>
      </c>
    </row>
    <row r="3" spans="1:15">
      <c r="A3" s="9" t="s">
        <v>3</v>
      </c>
      <c r="B3" s="10" t="s">
        <v>4</v>
      </c>
      <c r="C3" s="11" t="s">
        <v>5</v>
      </c>
      <c r="D3" s="74" t="s">
        <v>6</v>
      </c>
      <c r="E3" s="74" t="s">
        <v>7</v>
      </c>
      <c r="F3" s="12" t="s">
        <v>8</v>
      </c>
      <c r="G3" s="13"/>
      <c r="H3" s="13"/>
      <c r="I3" s="13"/>
      <c r="J3" s="24"/>
      <c r="K3" s="352" t="s">
        <v>9</v>
      </c>
      <c r="L3" s="74" t="s">
        <v>10</v>
      </c>
      <c r="M3" s="74" t="s">
        <v>11</v>
      </c>
      <c r="N3" s="75" t="s">
        <v>12</v>
      </c>
      <c r="O3" s="76" t="s">
        <v>13</v>
      </c>
    </row>
    <row r="4" ht="15" spans="1:15">
      <c r="A4" s="14"/>
      <c r="B4" s="15"/>
      <c r="C4" s="16"/>
      <c r="D4" s="80"/>
      <c r="E4" s="80"/>
      <c r="F4" s="17" t="s">
        <v>14</v>
      </c>
      <c r="G4" s="18" t="s">
        <v>15</v>
      </c>
      <c r="H4" s="18" t="s">
        <v>16</v>
      </c>
      <c r="I4" s="77" t="s">
        <v>17</v>
      </c>
      <c r="J4" s="276" t="s">
        <v>18</v>
      </c>
      <c r="K4" s="79"/>
      <c r="L4" s="80"/>
      <c r="M4" s="80"/>
      <c r="N4" s="81"/>
      <c r="O4" s="82"/>
    </row>
    <row r="5" ht="15" spans="1:15">
      <c r="A5" s="19" t="s">
        <v>19</v>
      </c>
      <c r="B5" s="20"/>
      <c r="C5" s="21"/>
      <c r="D5" s="12"/>
      <c r="E5" s="12"/>
      <c r="F5" s="23"/>
      <c r="G5" s="24"/>
      <c r="H5" s="24"/>
      <c r="I5" s="83"/>
      <c r="J5" s="72"/>
      <c r="K5" s="84"/>
      <c r="L5" s="85">
        <f>SUM(V4)</f>
        <v>0</v>
      </c>
      <c r="M5" s="86"/>
      <c r="N5" s="87"/>
      <c r="O5" s="88"/>
    </row>
    <row r="6" ht="16.5" spans="1:15">
      <c r="A6" s="25">
        <v>45078</v>
      </c>
      <c r="B6" s="26">
        <f>B5</f>
        <v>0</v>
      </c>
      <c r="C6" s="136"/>
      <c r="D6" s="235"/>
      <c r="E6" s="235"/>
      <c r="F6" s="143"/>
      <c r="G6" s="144"/>
      <c r="H6" s="148"/>
      <c r="I6" s="203"/>
      <c r="J6" s="204"/>
      <c r="K6" s="91">
        <f>SUM(H6+I6)</f>
        <v>0</v>
      </c>
      <c r="L6" s="92">
        <f>B6+C6-D6-E6-K6</f>
        <v>0</v>
      </c>
      <c r="M6" s="93"/>
      <c r="N6" s="94"/>
      <c r="O6" s="95"/>
    </row>
    <row r="7" ht="16.5" spans="1:15">
      <c r="A7" s="25">
        <v>45079</v>
      </c>
      <c r="B7" s="26">
        <f>SUM(L6)</f>
        <v>0</v>
      </c>
      <c r="C7" s="141"/>
      <c r="D7" s="236"/>
      <c r="E7" s="237"/>
      <c r="F7" s="143"/>
      <c r="G7" s="144"/>
      <c r="H7" s="148"/>
      <c r="I7" s="203"/>
      <c r="J7" s="204"/>
      <c r="K7" s="91">
        <f t="shared" ref="K7:K35" si="0">SUM(H7+I7)</f>
        <v>0</v>
      </c>
      <c r="L7" s="92">
        <f t="shared" ref="L7:L35" si="1">B7+C7-D7-E7-K7</f>
        <v>0</v>
      </c>
      <c r="M7" s="93"/>
      <c r="N7" s="96"/>
      <c r="O7" s="97"/>
    </row>
    <row r="8" ht="16.5" spans="1:15">
      <c r="A8" s="25">
        <v>45080</v>
      </c>
      <c r="B8" s="26">
        <f t="shared" ref="B8:B35" si="2">SUM(L7)</f>
        <v>0</v>
      </c>
      <c r="C8" s="141"/>
      <c r="D8" s="236"/>
      <c r="E8" s="237"/>
      <c r="F8" s="143"/>
      <c r="G8" s="144"/>
      <c r="H8" s="148"/>
      <c r="I8" s="203"/>
      <c r="J8" s="204"/>
      <c r="K8" s="91">
        <f t="shared" si="0"/>
        <v>0</v>
      </c>
      <c r="L8" s="92">
        <f t="shared" si="1"/>
        <v>0</v>
      </c>
      <c r="M8" s="93"/>
      <c r="N8" s="96"/>
      <c r="O8" s="98"/>
    </row>
    <row r="9" ht="16.5" spans="1:15">
      <c r="A9" s="25">
        <v>45081</v>
      </c>
      <c r="B9" s="26">
        <f t="shared" si="2"/>
        <v>0</v>
      </c>
      <c r="C9" s="141"/>
      <c r="D9" s="149"/>
      <c r="E9" s="152"/>
      <c r="F9" s="143"/>
      <c r="G9" s="144"/>
      <c r="H9" s="148"/>
      <c r="I9" s="203"/>
      <c r="J9" s="204"/>
      <c r="K9" s="91">
        <f t="shared" si="0"/>
        <v>0</v>
      </c>
      <c r="L9" s="92">
        <f t="shared" si="1"/>
        <v>0</v>
      </c>
      <c r="M9" s="93"/>
      <c r="N9" s="96"/>
      <c r="O9" s="98"/>
    </row>
    <row r="10" ht="16.5" spans="1:16">
      <c r="A10" s="25">
        <v>45082</v>
      </c>
      <c r="B10" s="26">
        <f t="shared" si="2"/>
        <v>0</v>
      </c>
      <c r="C10" s="141">
        <f>2028.2375+1307.57-21+53+428.1325+220.46</f>
        <v>4016.4</v>
      </c>
      <c r="D10" s="149"/>
      <c r="E10" s="152"/>
      <c r="F10" s="147">
        <v>2355</v>
      </c>
      <c r="G10" s="148">
        <v>50</v>
      </c>
      <c r="H10" s="148">
        <v>2305</v>
      </c>
      <c r="I10" s="213">
        <v>51.7</v>
      </c>
      <c r="J10" s="204"/>
      <c r="K10" s="91">
        <f t="shared" si="0"/>
        <v>2356.7</v>
      </c>
      <c r="L10" s="92">
        <f t="shared" si="1"/>
        <v>1659.7</v>
      </c>
      <c r="M10" s="93" t="s">
        <v>70</v>
      </c>
      <c r="N10" s="96"/>
      <c r="O10" s="98"/>
      <c r="P10" s="100"/>
    </row>
    <row r="11" ht="16.5" spans="1:15">
      <c r="A11" s="25">
        <v>45083</v>
      </c>
      <c r="B11" s="26">
        <f t="shared" si="2"/>
        <v>1659.7</v>
      </c>
      <c r="C11" s="141">
        <v>330.69</v>
      </c>
      <c r="D11" s="172"/>
      <c r="E11" s="152"/>
      <c r="F11" s="147">
        <v>1977</v>
      </c>
      <c r="G11" s="148">
        <v>45</v>
      </c>
      <c r="H11" s="148">
        <v>1932</v>
      </c>
      <c r="I11" s="213">
        <v>58.7</v>
      </c>
      <c r="J11" s="204"/>
      <c r="K11" s="91">
        <f t="shared" si="0"/>
        <v>1990.7</v>
      </c>
      <c r="L11" s="92">
        <f t="shared" si="1"/>
        <v>-0.309999999999718</v>
      </c>
      <c r="M11" s="93" t="s">
        <v>71</v>
      </c>
      <c r="N11" s="96"/>
      <c r="O11" s="98"/>
    </row>
    <row r="12" ht="16.5" spans="1:15">
      <c r="A12" s="25">
        <v>45084</v>
      </c>
      <c r="B12" s="26">
        <f t="shared" si="2"/>
        <v>-0.309999999999718</v>
      </c>
      <c r="C12" s="141">
        <v>17781.915</v>
      </c>
      <c r="D12" s="149"/>
      <c r="E12" s="152"/>
      <c r="F12" s="147">
        <v>10132</v>
      </c>
      <c r="G12" s="148">
        <v>506</v>
      </c>
      <c r="H12" s="148">
        <v>9626</v>
      </c>
      <c r="I12" s="213">
        <v>95</v>
      </c>
      <c r="J12" s="204">
        <v>73</v>
      </c>
      <c r="K12" s="91">
        <f t="shared" si="0"/>
        <v>9721</v>
      </c>
      <c r="L12" s="92">
        <f t="shared" si="1"/>
        <v>8060.605</v>
      </c>
      <c r="M12" s="93" t="s">
        <v>72</v>
      </c>
      <c r="N12" s="96"/>
      <c r="O12" s="98"/>
    </row>
    <row r="13" ht="16.5" spans="1:15">
      <c r="A13" s="25">
        <v>45085</v>
      </c>
      <c r="B13" s="26">
        <f t="shared" si="2"/>
        <v>8060.605</v>
      </c>
      <c r="C13" s="141">
        <v>14026.7675</v>
      </c>
      <c r="D13" s="149"/>
      <c r="E13" s="152"/>
      <c r="F13" s="147">
        <v>16350</v>
      </c>
      <c r="G13" s="148">
        <v>810</v>
      </c>
      <c r="H13" s="148">
        <v>15540</v>
      </c>
      <c r="I13" s="213"/>
      <c r="J13" s="204"/>
      <c r="K13" s="91">
        <f t="shared" si="0"/>
        <v>15540</v>
      </c>
      <c r="L13" s="92">
        <f t="shared" si="1"/>
        <v>6547.3725</v>
      </c>
      <c r="M13" s="93" t="s">
        <v>73</v>
      </c>
      <c r="N13" s="96"/>
      <c r="O13" s="98"/>
    </row>
    <row r="14" ht="16.5" spans="1:15">
      <c r="A14" s="25">
        <v>45086</v>
      </c>
      <c r="B14" s="26">
        <f t="shared" si="2"/>
        <v>6547.3725</v>
      </c>
      <c r="C14" s="141">
        <v>10526.965</v>
      </c>
      <c r="D14" s="149"/>
      <c r="E14" s="152"/>
      <c r="F14" s="147">
        <v>16168</v>
      </c>
      <c r="G14" s="148">
        <v>863</v>
      </c>
      <c r="H14" s="148">
        <v>15305</v>
      </c>
      <c r="I14" s="213">
        <v>15.2</v>
      </c>
      <c r="J14" s="204">
        <v>80</v>
      </c>
      <c r="K14" s="91">
        <f t="shared" si="0"/>
        <v>15320.2</v>
      </c>
      <c r="L14" s="92">
        <f t="shared" si="1"/>
        <v>1754.1375</v>
      </c>
      <c r="M14" s="93" t="s">
        <v>73</v>
      </c>
      <c r="N14" s="96"/>
      <c r="O14" s="98"/>
    </row>
    <row r="15" ht="16.5" spans="1:15">
      <c r="A15" s="25">
        <v>45087</v>
      </c>
      <c r="B15" s="26">
        <f t="shared" si="2"/>
        <v>1754.1375</v>
      </c>
      <c r="C15" s="141">
        <v>10830.0975</v>
      </c>
      <c r="D15" s="149"/>
      <c r="E15" s="152"/>
      <c r="F15" s="147">
        <v>13632</v>
      </c>
      <c r="G15" s="148">
        <v>977</v>
      </c>
      <c r="H15" s="148">
        <v>12655</v>
      </c>
      <c r="I15" s="213">
        <v>5</v>
      </c>
      <c r="J15" s="204">
        <v>75</v>
      </c>
      <c r="K15" s="91">
        <f t="shared" si="0"/>
        <v>12660</v>
      </c>
      <c r="L15" s="92">
        <f t="shared" si="1"/>
        <v>-75.7650000000031</v>
      </c>
      <c r="M15" s="93" t="s">
        <v>74</v>
      </c>
      <c r="N15" s="96"/>
      <c r="O15" s="98"/>
    </row>
    <row r="16" ht="16.5" spans="1:15">
      <c r="A16" s="25">
        <v>45088</v>
      </c>
      <c r="B16" s="26">
        <f t="shared" si="2"/>
        <v>-75.7650000000031</v>
      </c>
      <c r="C16" s="141"/>
      <c r="D16" s="149"/>
      <c r="E16" s="152"/>
      <c r="F16" s="147"/>
      <c r="G16" s="148"/>
      <c r="H16" s="148"/>
      <c r="I16" s="213"/>
      <c r="J16" s="204"/>
      <c r="K16" s="91">
        <f t="shared" si="0"/>
        <v>0</v>
      </c>
      <c r="L16" s="92">
        <f t="shared" si="1"/>
        <v>-75.7650000000031</v>
      </c>
      <c r="M16" s="93"/>
      <c r="N16" s="96"/>
      <c r="O16" s="98"/>
    </row>
    <row r="17" ht="16.5" spans="1:15">
      <c r="A17" s="25">
        <v>45089</v>
      </c>
      <c r="B17" s="26">
        <f t="shared" si="2"/>
        <v>-75.7650000000031</v>
      </c>
      <c r="C17" s="141">
        <v>4643.687</v>
      </c>
      <c r="D17" s="149"/>
      <c r="E17" s="152"/>
      <c r="F17" s="147">
        <v>3892</v>
      </c>
      <c r="G17" s="148">
        <v>75</v>
      </c>
      <c r="H17" s="148">
        <v>3817</v>
      </c>
      <c r="I17" s="213">
        <v>44.9</v>
      </c>
      <c r="J17" s="204"/>
      <c r="K17" s="91">
        <f t="shared" si="0"/>
        <v>3861.9</v>
      </c>
      <c r="L17" s="92">
        <f t="shared" si="1"/>
        <v>706.021999999997</v>
      </c>
      <c r="M17" s="93" t="s">
        <v>75</v>
      </c>
      <c r="N17" s="96"/>
      <c r="O17" s="98"/>
    </row>
    <row r="18" ht="16.5" spans="1:16">
      <c r="A18" s="25">
        <v>45090</v>
      </c>
      <c r="B18" s="26">
        <f t="shared" si="2"/>
        <v>706.021999999997</v>
      </c>
      <c r="C18" s="141">
        <v>3127.44</v>
      </c>
      <c r="D18" s="149"/>
      <c r="E18" s="152"/>
      <c r="F18" s="147">
        <v>2618</v>
      </c>
      <c r="G18" s="148">
        <v>51</v>
      </c>
      <c r="H18" s="148">
        <v>2567</v>
      </c>
      <c r="I18" s="213">
        <v>31.2</v>
      </c>
      <c r="J18" s="204"/>
      <c r="K18" s="91">
        <f t="shared" si="0"/>
        <v>2598.2</v>
      </c>
      <c r="L18" s="92">
        <f t="shared" si="1"/>
        <v>1235.262</v>
      </c>
      <c r="M18" s="93" t="s">
        <v>76</v>
      </c>
      <c r="N18" s="96"/>
      <c r="O18" s="98"/>
      <c r="P18" s="100"/>
    </row>
    <row r="19" ht="16.5" spans="1:15">
      <c r="A19" s="25">
        <v>45091</v>
      </c>
      <c r="B19" s="26">
        <f t="shared" si="2"/>
        <v>1235.262</v>
      </c>
      <c r="C19" s="141">
        <v>3224.2275</v>
      </c>
      <c r="D19" s="149"/>
      <c r="E19" s="152"/>
      <c r="F19" s="147">
        <v>3249</v>
      </c>
      <c r="G19" s="148">
        <v>64</v>
      </c>
      <c r="H19" s="148">
        <v>3185</v>
      </c>
      <c r="I19" s="213">
        <v>30</v>
      </c>
      <c r="J19" s="204"/>
      <c r="K19" s="91">
        <f t="shared" si="0"/>
        <v>3215</v>
      </c>
      <c r="L19" s="92">
        <f t="shared" si="1"/>
        <v>1244.4895</v>
      </c>
      <c r="M19" s="93" t="s">
        <v>77</v>
      </c>
      <c r="N19" s="96"/>
      <c r="O19" s="98"/>
    </row>
    <row r="20" ht="16.5" spans="1:15">
      <c r="A20" s="25">
        <v>45092</v>
      </c>
      <c r="B20" s="26">
        <f t="shared" si="2"/>
        <v>1244.4895</v>
      </c>
      <c r="C20" s="141">
        <v>3362.015</v>
      </c>
      <c r="D20" s="149"/>
      <c r="E20" s="152"/>
      <c r="F20" s="147">
        <v>4368</v>
      </c>
      <c r="G20" s="148">
        <v>90</v>
      </c>
      <c r="H20" s="148">
        <v>4278</v>
      </c>
      <c r="I20" s="213">
        <v>36.5</v>
      </c>
      <c r="J20" s="204"/>
      <c r="K20" s="91">
        <f t="shared" si="0"/>
        <v>4314.5</v>
      </c>
      <c r="L20" s="92">
        <f t="shared" si="1"/>
        <v>292.004499999997</v>
      </c>
      <c r="M20" s="93" t="s">
        <v>78</v>
      </c>
      <c r="N20" s="96"/>
      <c r="O20" s="98"/>
    </row>
    <row r="21" ht="16.5" spans="1:15">
      <c r="A21" s="25">
        <v>45093</v>
      </c>
      <c r="B21" s="26">
        <f t="shared" si="2"/>
        <v>292.004499999997</v>
      </c>
      <c r="C21" s="141">
        <f>6941.375+100</f>
        <v>7041.375</v>
      </c>
      <c r="D21" s="149"/>
      <c r="E21" s="152"/>
      <c r="F21" s="147">
        <v>5804</v>
      </c>
      <c r="G21" s="148">
        <v>133</v>
      </c>
      <c r="H21" s="148">
        <v>5671</v>
      </c>
      <c r="I21" s="213">
        <v>37.5</v>
      </c>
      <c r="J21" s="204"/>
      <c r="K21" s="91">
        <f t="shared" si="0"/>
        <v>5708.5</v>
      </c>
      <c r="L21" s="92">
        <f t="shared" si="1"/>
        <v>1624.8795</v>
      </c>
      <c r="M21" s="93" t="s">
        <v>79</v>
      </c>
      <c r="N21" s="96"/>
      <c r="O21" s="98"/>
    </row>
    <row r="22" ht="16.5" spans="1:15">
      <c r="A22" s="25">
        <v>45094</v>
      </c>
      <c r="B22" s="26">
        <f t="shared" si="2"/>
        <v>1624.8795</v>
      </c>
      <c r="C22" s="141">
        <v>1988.105</v>
      </c>
      <c r="D22" s="149"/>
      <c r="E22" s="152"/>
      <c r="F22" s="147">
        <v>3365</v>
      </c>
      <c r="G22" s="148">
        <v>72</v>
      </c>
      <c r="H22" s="148">
        <v>3293</v>
      </c>
      <c r="I22" s="213"/>
      <c r="J22" s="204"/>
      <c r="K22" s="91">
        <f t="shared" si="0"/>
        <v>3293</v>
      </c>
      <c r="L22" s="92">
        <f t="shared" si="1"/>
        <v>319.984499999997</v>
      </c>
      <c r="M22" s="93" t="s">
        <v>80</v>
      </c>
      <c r="N22" s="96"/>
      <c r="O22" s="98"/>
    </row>
    <row r="23" ht="16.5" spans="1:15">
      <c r="A23" s="25">
        <v>45095</v>
      </c>
      <c r="B23" s="26">
        <f t="shared" si="2"/>
        <v>319.984499999997</v>
      </c>
      <c r="C23" s="141"/>
      <c r="D23" s="149"/>
      <c r="E23" s="152"/>
      <c r="F23" s="147"/>
      <c r="G23" s="148"/>
      <c r="H23" s="148"/>
      <c r="I23" s="213"/>
      <c r="J23" s="204"/>
      <c r="K23" s="91">
        <f t="shared" si="0"/>
        <v>0</v>
      </c>
      <c r="L23" s="92">
        <f t="shared" si="1"/>
        <v>319.984499999997</v>
      </c>
      <c r="M23" s="93"/>
      <c r="N23" s="101"/>
      <c r="O23" s="98"/>
    </row>
    <row r="24" ht="16.5" spans="1:15">
      <c r="A24" s="25">
        <v>45096</v>
      </c>
      <c r="B24" s="26">
        <f t="shared" si="2"/>
        <v>319.984499999997</v>
      </c>
      <c r="C24" s="141">
        <v>13860.5025</v>
      </c>
      <c r="D24" s="149"/>
      <c r="E24" s="152"/>
      <c r="F24" s="147">
        <v>10574</v>
      </c>
      <c r="G24" s="148">
        <v>638</v>
      </c>
      <c r="H24" s="148">
        <v>9936</v>
      </c>
      <c r="I24" s="213">
        <v>166.5</v>
      </c>
      <c r="J24" s="204">
        <v>83</v>
      </c>
      <c r="K24" s="91">
        <f t="shared" si="0"/>
        <v>10102.5</v>
      </c>
      <c r="L24" s="92">
        <f t="shared" si="1"/>
        <v>4077.987</v>
      </c>
      <c r="M24" s="93" t="s">
        <v>81</v>
      </c>
      <c r="N24" s="96"/>
      <c r="O24" s="98"/>
    </row>
    <row r="25" ht="16.5" spans="1:15">
      <c r="A25" s="25">
        <v>45097</v>
      </c>
      <c r="B25" s="26">
        <f t="shared" si="2"/>
        <v>4077.987</v>
      </c>
      <c r="C25" s="141">
        <v>17122.535</v>
      </c>
      <c r="D25" s="149"/>
      <c r="E25" s="238">
        <v>9.6</v>
      </c>
      <c r="F25" s="147">
        <v>15269</v>
      </c>
      <c r="G25" s="148">
        <v>989</v>
      </c>
      <c r="H25" s="148">
        <v>14280</v>
      </c>
      <c r="I25" s="213">
        <v>5.5</v>
      </c>
      <c r="J25" s="204"/>
      <c r="K25" s="91">
        <f t="shared" si="0"/>
        <v>14285.5</v>
      </c>
      <c r="L25" s="92">
        <f t="shared" si="1"/>
        <v>6905.422</v>
      </c>
      <c r="M25" s="93" t="s">
        <v>82</v>
      </c>
      <c r="N25" s="96"/>
      <c r="O25" s="98"/>
    </row>
    <row r="26" ht="16.5" spans="1:15">
      <c r="A26" s="25">
        <v>45098</v>
      </c>
      <c r="B26" s="26">
        <f t="shared" si="2"/>
        <v>6905.422</v>
      </c>
      <c r="C26" s="141">
        <v>8319.2325</v>
      </c>
      <c r="D26" s="149"/>
      <c r="E26" s="152"/>
      <c r="F26" s="147">
        <v>10235</v>
      </c>
      <c r="G26" s="148">
        <v>578</v>
      </c>
      <c r="H26" s="148">
        <v>9657</v>
      </c>
      <c r="I26" s="213">
        <v>31.8</v>
      </c>
      <c r="J26" s="204">
        <v>39</v>
      </c>
      <c r="K26" s="91">
        <f t="shared" si="0"/>
        <v>9688.8</v>
      </c>
      <c r="L26" s="92">
        <f t="shared" si="1"/>
        <v>5535.8545</v>
      </c>
      <c r="M26" s="93" t="s">
        <v>73</v>
      </c>
      <c r="N26" s="96"/>
      <c r="O26" s="98"/>
    </row>
    <row r="27" ht="16.5" spans="1:16">
      <c r="A27" s="25">
        <v>45099</v>
      </c>
      <c r="B27" s="26">
        <f t="shared" si="2"/>
        <v>5535.8545</v>
      </c>
      <c r="C27" s="141"/>
      <c r="D27" s="149"/>
      <c r="E27" s="152"/>
      <c r="F27" s="147"/>
      <c r="G27" s="148"/>
      <c r="H27" s="148"/>
      <c r="I27" s="213"/>
      <c r="J27" s="204"/>
      <c r="K27" s="91">
        <f t="shared" si="0"/>
        <v>0</v>
      </c>
      <c r="L27" s="92">
        <f t="shared" si="1"/>
        <v>5535.8545</v>
      </c>
      <c r="M27" s="93"/>
      <c r="N27" s="96"/>
      <c r="O27" s="98"/>
      <c r="P27" s="100"/>
    </row>
    <row r="28" ht="16.5" spans="1:15">
      <c r="A28" s="25">
        <v>45100</v>
      </c>
      <c r="B28" s="26">
        <f t="shared" si="2"/>
        <v>5535.8545</v>
      </c>
      <c r="C28" s="141">
        <v>5466.985</v>
      </c>
      <c r="D28" s="149"/>
      <c r="E28" s="152"/>
      <c r="F28" s="147">
        <v>5936</v>
      </c>
      <c r="G28" s="148">
        <v>104</v>
      </c>
      <c r="H28" s="148">
        <v>5832</v>
      </c>
      <c r="I28" s="203">
        <v>20.7</v>
      </c>
      <c r="J28" s="204">
        <v>38.5</v>
      </c>
      <c r="K28" s="91">
        <f t="shared" si="0"/>
        <v>5852.7</v>
      </c>
      <c r="L28" s="92">
        <f t="shared" si="1"/>
        <v>5150.1395</v>
      </c>
      <c r="M28" s="93" t="s">
        <v>83</v>
      </c>
      <c r="N28" s="96"/>
      <c r="O28" s="98"/>
    </row>
    <row r="29" ht="16.5" spans="1:15">
      <c r="A29" s="25">
        <v>45101</v>
      </c>
      <c r="B29" s="26">
        <f t="shared" si="2"/>
        <v>5150.1395</v>
      </c>
      <c r="C29" s="141">
        <v>1314.61</v>
      </c>
      <c r="D29" s="149">
        <v>29</v>
      </c>
      <c r="E29" s="152"/>
      <c r="F29" s="147">
        <v>4819</v>
      </c>
      <c r="G29" s="148">
        <v>91</v>
      </c>
      <c r="H29" s="148">
        <v>4728</v>
      </c>
      <c r="I29" s="353">
        <v>32.5</v>
      </c>
      <c r="J29" s="354"/>
      <c r="K29" s="91">
        <f t="shared" si="0"/>
        <v>4760.5</v>
      </c>
      <c r="L29" s="92">
        <f t="shared" si="1"/>
        <v>1675.2495</v>
      </c>
      <c r="M29" s="93" t="s">
        <v>84</v>
      </c>
      <c r="N29" s="96"/>
      <c r="O29" s="98"/>
    </row>
    <row r="30" ht="16.5" spans="1:15">
      <c r="A30" s="25">
        <v>45102</v>
      </c>
      <c r="B30" s="26">
        <f t="shared" si="2"/>
        <v>1675.2495</v>
      </c>
      <c r="C30" s="141"/>
      <c r="D30" s="149"/>
      <c r="E30" s="152"/>
      <c r="F30" s="147"/>
      <c r="G30" s="148"/>
      <c r="H30" s="148"/>
      <c r="I30" s="353"/>
      <c r="J30" s="354"/>
      <c r="K30" s="91">
        <f t="shared" si="0"/>
        <v>0</v>
      </c>
      <c r="L30" s="92">
        <f t="shared" si="1"/>
        <v>1675.2495</v>
      </c>
      <c r="M30" s="93"/>
      <c r="N30" s="96"/>
      <c r="O30" s="98"/>
    </row>
    <row r="31" ht="16.5" spans="1:15">
      <c r="A31" s="25">
        <v>45103</v>
      </c>
      <c r="B31" s="26">
        <f t="shared" si="2"/>
        <v>1675.2495</v>
      </c>
      <c r="C31" s="149">
        <v>16424.27</v>
      </c>
      <c r="D31" s="149"/>
      <c r="E31" s="152"/>
      <c r="F31" s="147">
        <v>11929</v>
      </c>
      <c r="G31" s="148">
        <v>561</v>
      </c>
      <c r="H31" s="148">
        <v>11368</v>
      </c>
      <c r="I31" s="353">
        <v>84.5</v>
      </c>
      <c r="J31" s="354">
        <v>56</v>
      </c>
      <c r="K31" s="91">
        <f t="shared" si="0"/>
        <v>11452.5</v>
      </c>
      <c r="L31" s="92">
        <f t="shared" si="1"/>
        <v>6647.0195</v>
      </c>
      <c r="M31" s="93" t="s">
        <v>73</v>
      </c>
      <c r="N31" s="96"/>
      <c r="O31" s="98"/>
    </row>
    <row r="32" ht="16.5" spans="1:16">
      <c r="A32" s="25">
        <v>45104</v>
      </c>
      <c r="B32" s="26">
        <f t="shared" si="2"/>
        <v>6647.0195</v>
      </c>
      <c r="C32" s="149">
        <v>11822.1675</v>
      </c>
      <c r="D32" s="149"/>
      <c r="E32" s="152"/>
      <c r="F32" s="147">
        <v>14567</v>
      </c>
      <c r="G32" s="148">
        <v>885</v>
      </c>
      <c r="H32" s="148">
        <v>13682</v>
      </c>
      <c r="I32" s="353">
        <v>39.1</v>
      </c>
      <c r="J32" s="354"/>
      <c r="K32" s="91">
        <f t="shared" si="0"/>
        <v>13721.1</v>
      </c>
      <c r="L32" s="92">
        <f t="shared" si="1"/>
        <v>4748.087</v>
      </c>
      <c r="M32" s="93" t="s">
        <v>73</v>
      </c>
      <c r="N32" s="96"/>
      <c r="O32" s="98"/>
      <c r="P32" s="355"/>
    </row>
    <row r="33" ht="16.5" spans="1:16">
      <c r="A33" s="25">
        <v>45105</v>
      </c>
      <c r="B33" s="26">
        <f t="shared" si="2"/>
        <v>4748.087</v>
      </c>
      <c r="C33" s="149">
        <f>11326.1325+2838.4225</f>
        <v>14164.555</v>
      </c>
      <c r="D33" s="149"/>
      <c r="E33" s="152"/>
      <c r="F33" s="147">
        <v>15296</v>
      </c>
      <c r="G33" s="148">
        <v>892</v>
      </c>
      <c r="H33" s="148">
        <v>14404</v>
      </c>
      <c r="I33" s="213">
        <v>95</v>
      </c>
      <c r="J33" s="204"/>
      <c r="K33" s="91">
        <f t="shared" si="0"/>
        <v>14499</v>
      </c>
      <c r="L33" s="92">
        <f t="shared" si="1"/>
        <v>4413.642</v>
      </c>
      <c r="M33" s="93" t="s">
        <v>85</v>
      </c>
      <c r="N33" s="96"/>
      <c r="O33" s="98"/>
      <c r="P33" s="356"/>
    </row>
    <row r="34" s="1" customFormat="1" ht="16.5" spans="1:16">
      <c r="A34" s="25">
        <v>45106</v>
      </c>
      <c r="B34" s="26">
        <f t="shared" si="2"/>
        <v>4413.642</v>
      </c>
      <c r="C34" s="149">
        <f>2018.795+771.61</f>
        <v>2790.405</v>
      </c>
      <c r="D34" s="149"/>
      <c r="E34" s="152"/>
      <c r="F34" s="147">
        <v>8042</v>
      </c>
      <c r="G34" s="148">
        <v>362</v>
      </c>
      <c r="H34" s="148">
        <v>7680</v>
      </c>
      <c r="I34" s="213">
        <v>19</v>
      </c>
      <c r="J34" s="204">
        <v>65</v>
      </c>
      <c r="K34" s="91">
        <f t="shared" si="0"/>
        <v>7699</v>
      </c>
      <c r="L34" s="92">
        <f t="shared" si="1"/>
        <v>-494.953</v>
      </c>
      <c r="M34" s="93" t="s">
        <v>85</v>
      </c>
      <c r="N34" s="357" t="s">
        <v>86</v>
      </c>
      <c r="O34" s="102"/>
      <c r="P34" s="358"/>
    </row>
    <row r="35" ht="16.5" spans="1:16">
      <c r="A35" s="25">
        <v>45107</v>
      </c>
      <c r="B35" s="26">
        <v>0</v>
      </c>
      <c r="C35" s="149">
        <f>495+3189.325</f>
        <v>3684.325</v>
      </c>
      <c r="D35" s="149">
        <v>10</v>
      </c>
      <c r="E35" s="152"/>
      <c r="F35" s="147">
        <v>3679</v>
      </c>
      <c r="G35" s="148">
        <v>88</v>
      </c>
      <c r="H35" s="148">
        <v>3591</v>
      </c>
      <c r="I35" s="203">
        <v>79.5</v>
      </c>
      <c r="J35" s="204"/>
      <c r="K35" s="91">
        <f t="shared" si="0"/>
        <v>3670.5</v>
      </c>
      <c r="L35" s="92">
        <f t="shared" si="1"/>
        <v>3.82499999999982</v>
      </c>
      <c r="M35" s="93" t="s">
        <v>87</v>
      </c>
      <c r="N35" s="96"/>
      <c r="O35" s="98"/>
      <c r="P35" s="355"/>
    </row>
    <row r="36" ht="18" customHeight="1" spans="1:16">
      <c r="A36" s="25"/>
      <c r="B36" s="26"/>
      <c r="C36" s="42"/>
      <c r="D36" s="240"/>
      <c r="E36" s="240"/>
      <c r="F36" s="28"/>
      <c r="G36" s="29"/>
      <c r="H36" s="35"/>
      <c r="I36" s="89"/>
      <c r="J36" s="103"/>
      <c r="K36" s="91"/>
      <c r="L36" s="92"/>
      <c r="M36" s="104"/>
      <c r="N36" s="96"/>
      <c r="O36" s="98"/>
      <c r="P36" s="355"/>
    </row>
    <row r="37" ht="15" spans="1:15">
      <c r="A37" s="43"/>
      <c r="B37" s="44"/>
      <c r="C37" s="45">
        <f t="shared" ref="C37:K37" si="3">SUM(C5:C36)</f>
        <v>175869.272</v>
      </c>
      <c r="D37" s="242">
        <f t="shared" si="3"/>
        <v>39</v>
      </c>
      <c r="E37" s="243">
        <f t="shared" si="3"/>
        <v>9.6</v>
      </c>
      <c r="F37" s="48">
        <f t="shared" si="3"/>
        <v>184256</v>
      </c>
      <c r="G37" s="49">
        <f t="shared" si="3"/>
        <v>8924</v>
      </c>
      <c r="H37" s="48">
        <f t="shared" si="3"/>
        <v>175332</v>
      </c>
      <c r="I37" s="49">
        <f t="shared" si="3"/>
        <v>979.8</v>
      </c>
      <c r="J37" s="49"/>
      <c r="K37" s="106">
        <f t="shared" si="3"/>
        <v>176311.8</v>
      </c>
      <c r="L37" s="107">
        <f>SUM(B5+C37-D37-E37-K37)</f>
        <v>-491.127999999997</v>
      </c>
      <c r="M37" s="107"/>
      <c r="N37" s="108"/>
      <c r="O37" s="109"/>
    </row>
    <row r="39" ht="17.25" spans="1:16">
      <c r="A39" s="50" t="s">
        <v>20</v>
      </c>
      <c r="B39" s="51"/>
      <c r="C39" s="52" t="s">
        <v>21</v>
      </c>
      <c r="D39" s="53" t="s">
        <v>22</v>
      </c>
      <c r="H39" s="50" t="s">
        <v>23</v>
      </c>
      <c r="I39" s="59" t="s">
        <v>24</v>
      </c>
      <c r="K39" s="50" t="s">
        <v>25</v>
      </c>
      <c r="P39" s="6"/>
    </row>
    <row r="40" ht="15" spans="11:13">
      <c r="K40" s="110" t="s">
        <v>88</v>
      </c>
      <c r="L40" s="111">
        <f>L37</f>
        <v>-491.127999999997</v>
      </c>
      <c r="M40" s="112" t="s">
        <v>27</v>
      </c>
    </row>
    <row r="41" spans="13:15">
      <c r="M41" s="114"/>
      <c r="N41" s="114"/>
      <c r="O41" s="5"/>
    </row>
    <row r="42" ht="15" spans="2:12">
      <c r="B42" s="54"/>
      <c r="K42" s="113" t="s">
        <v>28</v>
      </c>
      <c r="L42" s="115"/>
    </row>
    <row r="43" spans="1:3">
      <c r="A43" s="55" t="s">
        <v>29</v>
      </c>
      <c r="B43" s="56" t="s">
        <v>30</v>
      </c>
      <c r="C43" s="57">
        <v>22</v>
      </c>
    </row>
    <row r="44" spans="1:3">
      <c r="A44" s="59" t="s">
        <v>31</v>
      </c>
      <c r="B44" s="60" t="s">
        <v>32</v>
      </c>
      <c r="C44" s="61">
        <f>(C37+B5)/C43</f>
        <v>7994.05781818182</v>
      </c>
    </row>
    <row r="45" spans="1:3">
      <c r="A45" s="59" t="s">
        <v>33</v>
      </c>
      <c r="B45" s="60" t="s">
        <v>34</v>
      </c>
      <c r="C45" s="61">
        <f>(B5+C37-D37)/C43</f>
        <v>7992.28509090909</v>
      </c>
    </row>
    <row r="46" ht="15" spans="1:8">
      <c r="A46" s="59" t="s">
        <v>23</v>
      </c>
      <c r="B46" s="60" t="s">
        <v>35</v>
      </c>
      <c r="C46" s="61">
        <f>H37/C43</f>
        <v>7969.63636363636</v>
      </c>
      <c r="D46" s="62" t="s">
        <v>36</v>
      </c>
      <c r="E46" s="62"/>
      <c r="F46" s="63"/>
      <c r="G46" s="64"/>
      <c r="H46" s="3" t="s">
        <v>37</v>
      </c>
    </row>
    <row r="47" ht="17.25" spans="1:6">
      <c r="A47" s="59" t="s">
        <v>25</v>
      </c>
      <c r="B47" s="60" t="s">
        <v>38</v>
      </c>
      <c r="C47" s="61">
        <f>(K37)/C43</f>
        <v>8014.17272727273</v>
      </c>
      <c r="D47" s="65" t="s">
        <v>39</v>
      </c>
      <c r="E47" s="66">
        <f>(C45-C47)</f>
        <v>-21.8876363636364</v>
      </c>
      <c r="F47" s="67"/>
    </row>
    <row r="48" ht="17.25" spans="1:5">
      <c r="A48" s="59" t="s">
        <v>24</v>
      </c>
      <c r="B48" s="68" t="s">
        <v>40</v>
      </c>
      <c r="C48" s="69">
        <f>(I37/H37)</f>
        <v>0.00558825542399562</v>
      </c>
      <c r="D48" s="70" t="s">
        <v>39</v>
      </c>
      <c r="E48" s="71">
        <f>E47/C45</f>
        <v>-0.00273859554741518</v>
      </c>
    </row>
  </sheetData>
  <mergeCells count="12">
    <mergeCell ref="A1:O1"/>
    <mergeCell ref="F3:I3"/>
    <mergeCell ref="A3:A4"/>
    <mergeCell ref="B3:B4"/>
    <mergeCell ref="C3:C4"/>
    <mergeCell ref="D3:D4"/>
    <mergeCell ref="E3:E4"/>
    <mergeCell ref="K3:K4"/>
    <mergeCell ref="L3:L4"/>
    <mergeCell ref="M3:M4"/>
    <mergeCell ref="N3:N4"/>
    <mergeCell ref="O3:O5"/>
  </mergeCells>
  <pageMargins left="0.7" right="0.7" top="0.75" bottom="0.75" header="0.3" footer="0.3"/>
  <pageSetup paperSize="9" orientation="portrait" horizontalDpi="200" verticalDpi="300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16" workbookViewId="0">
      <selection activeCell="L21" sqref="L21"/>
    </sheetView>
  </sheetViews>
  <sheetFormatPr defaultColWidth="10.4416666666667" defaultRowHeight="14.25"/>
  <cols>
    <col min="1" max="1" width="12.775" style="2" customWidth="1"/>
    <col min="2" max="2" width="18.2166666666667" style="2" customWidth="1"/>
    <col min="3" max="3" width="13.125" style="2" customWidth="1"/>
    <col min="4" max="4" width="10.4416666666667" style="4"/>
    <col min="5" max="9" width="10.4416666666667" style="2"/>
    <col min="10" max="10" width="17.8833333333333" style="2" customWidth="1"/>
    <col min="11" max="11" width="15.3333333333333" style="5" customWidth="1"/>
    <col min="12" max="12" width="12.4416666666667" style="2" customWidth="1"/>
    <col min="13" max="13" width="12.4416666666667" style="280" customWidth="1"/>
    <col min="14" max="14" width="15.3333333333333" style="5" customWidth="1"/>
    <col min="15" max="15" width="10.4416666666667" style="6"/>
    <col min="16" max="16" width="10.4416666666667" style="2"/>
    <col min="17" max="17" width="12.625" style="2"/>
    <col min="18" max="16384" width="10.4416666666667" style="2"/>
  </cols>
  <sheetData>
    <row r="1" ht="30" spans="1:15">
      <c r="A1" s="281" t="s">
        <v>89</v>
      </c>
      <c r="B1" s="281"/>
      <c r="C1" s="281"/>
      <c r="D1" s="281"/>
      <c r="E1" s="281"/>
      <c r="F1" s="281"/>
      <c r="G1" s="281"/>
      <c r="H1" s="281"/>
      <c r="I1" s="281"/>
      <c r="J1" s="281"/>
      <c r="K1" s="315"/>
      <c r="L1" s="281"/>
      <c r="M1" s="316"/>
      <c r="N1" s="281"/>
      <c r="O1" s="281"/>
    </row>
    <row r="2" ht="20.25" spans="1:12">
      <c r="A2" s="233" t="s">
        <v>1</v>
      </c>
      <c r="L2" s="2" t="s">
        <v>2</v>
      </c>
    </row>
    <row r="3" spans="1:15">
      <c r="A3" s="9" t="s">
        <v>3</v>
      </c>
      <c r="B3" s="282" t="s">
        <v>4</v>
      </c>
      <c r="C3" s="283" t="s">
        <v>5</v>
      </c>
      <c r="D3" s="9" t="s">
        <v>6</v>
      </c>
      <c r="E3" s="9" t="s">
        <v>7</v>
      </c>
      <c r="F3" s="22" t="s">
        <v>8</v>
      </c>
      <c r="G3" s="284"/>
      <c r="H3" s="284"/>
      <c r="I3" s="284"/>
      <c r="J3" s="317"/>
      <c r="K3" s="318" t="s">
        <v>9</v>
      </c>
      <c r="L3" s="9" t="s">
        <v>10</v>
      </c>
      <c r="M3" s="319" t="s">
        <v>11</v>
      </c>
      <c r="N3" s="75" t="s">
        <v>12</v>
      </c>
      <c r="O3" s="76" t="s">
        <v>13</v>
      </c>
    </row>
    <row r="4" ht="15" spans="1:15">
      <c r="A4" s="14"/>
      <c r="B4" s="285"/>
      <c r="C4" s="286"/>
      <c r="D4" s="14"/>
      <c r="E4" s="14"/>
      <c r="F4" s="287" t="s">
        <v>14</v>
      </c>
      <c r="G4" s="288" t="s">
        <v>15</v>
      </c>
      <c r="H4" s="288" t="s">
        <v>16</v>
      </c>
      <c r="I4" s="320" t="s">
        <v>17</v>
      </c>
      <c r="J4" s="321" t="s">
        <v>18</v>
      </c>
      <c r="K4" s="322"/>
      <c r="L4" s="14"/>
      <c r="M4" s="323"/>
      <c r="N4" s="81"/>
      <c r="O4" s="82"/>
    </row>
    <row r="5" ht="15" spans="1:15">
      <c r="A5" s="19" t="s">
        <v>19</v>
      </c>
      <c r="B5" s="289">
        <v>1497.71699999999</v>
      </c>
      <c r="C5" s="290"/>
      <c r="D5" s="22"/>
      <c r="E5" s="22"/>
      <c r="F5" s="291"/>
      <c r="G5" s="292"/>
      <c r="H5" s="292"/>
      <c r="I5" s="324"/>
      <c r="J5" s="317"/>
      <c r="K5" s="325"/>
      <c r="L5" s="326">
        <f>SUM(V4)</f>
        <v>0</v>
      </c>
      <c r="M5" s="327"/>
      <c r="N5" s="328"/>
      <c r="O5" s="88"/>
    </row>
    <row r="6" ht="16.5" spans="1:15">
      <c r="A6" s="25">
        <v>45047</v>
      </c>
      <c r="B6" s="293">
        <f>B5</f>
        <v>1497.71699999999</v>
      </c>
      <c r="C6" s="293"/>
      <c r="D6" s="27"/>
      <c r="E6" s="27"/>
      <c r="F6" s="294"/>
      <c r="G6" s="295"/>
      <c r="H6" s="295"/>
      <c r="I6" s="329"/>
      <c r="J6" s="330"/>
      <c r="K6" s="331">
        <f>SUM(H6+I6)</f>
        <v>0</v>
      </c>
      <c r="L6" s="332">
        <f>B6+C6-D6-E6-K6</f>
        <v>1497.71699999999</v>
      </c>
      <c r="M6" s="333"/>
      <c r="N6" s="334"/>
      <c r="O6" s="95"/>
    </row>
    <row r="7" ht="16.5" spans="1:15">
      <c r="A7" s="25">
        <v>45048</v>
      </c>
      <c r="B7" s="293">
        <f>SUM(L6)</f>
        <v>1497.71699999999</v>
      </c>
      <c r="C7" s="293">
        <v>1827.73</v>
      </c>
      <c r="D7" s="30"/>
      <c r="E7" s="31"/>
      <c r="F7" s="294">
        <v>856</v>
      </c>
      <c r="G7" s="295">
        <v>21</v>
      </c>
      <c r="H7" s="296">
        <v>835</v>
      </c>
      <c r="I7" s="329"/>
      <c r="J7" s="330"/>
      <c r="K7" s="331">
        <f t="shared" ref="K7:K36" si="0">SUM(H7+I7)</f>
        <v>835</v>
      </c>
      <c r="L7" s="332">
        <f t="shared" ref="L7:L35" si="1">B7+C7-D7-E7-K7</f>
        <v>2490.44699999999</v>
      </c>
      <c r="M7" s="335" t="s">
        <v>90</v>
      </c>
      <c r="N7" s="101"/>
      <c r="O7" s="97"/>
    </row>
    <row r="8" ht="16.5" spans="1:15">
      <c r="A8" s="25">
        <v>45049</v>
      </c>
      <c r="B8" s="293">
        <f t="shared" ref="B8:B36" si="2">SUM(L7)</f>
        <v>2490.44699999999</v>
      </c>
      <c r="C8" s="293"/>
      <c r="D8" s="297"/>
      <c r="E8" s="297"/>
      <c r="F8" s="298">
        <v>933</v>
      </c>
      <c r="G8" s="299">
        <v>23</v>
      </c>
      <c r="H8" s="299">
        <v>910</v>
      </c>
      <c r="I8" s="336">
        <v>72.2</v>
      </c>
      <c r="J8" s="337"/>
      <c r="K8" s="331">
        <f t="shared" si="0"/>
        <v>982.2</v>
      </c>
      <c r="L8" s="332">
        <f t="shared" si="1"/>
        <v>1508.24699999999</v>
      </c>
      <c r="M8" s="335" t="s">
        <v>91</v>
      </c>
      <c r="N8" s="101"/>
      <c r="O8" s="98"/>
    </row>
    <row r="9" ht="16.5" spans="1:15">
      <c r="A9" s="25">
        <v>45050</v>
      </c>
      <c r="B9" s="293">
        <f t="shared" si="2"/>
        <v>1508.24699999999</v>
      </c>
      <c r="C9" s="293">
        <v>16066.0225</v>
      </c>
      <c r="D9" s="300"/>
      <c r="E9" s="301"/>
      <c r="F9" s="298">
        <v>10118</v>
      </c>
      <c r="G9" s="299">
        <v>497</v>
      </c>
      <c r="H9" s="302">
        <v>9621</v>
      </c>
      <c r="I9" s="336">
        <v>205.6</v>
      </c>
      <c r="J9" s="337">
        <v>68</v>
      </c>
      <c r="K9" s="331">
        <f t="shared" si="0"/>
        <v>9826.6</v>
      </c>
      <c r="L9" s="332">
        <f t="shared" si="1"/>
        <v>7747.66949999999</v>
      </c>
      <c r="M9" s="93" t="s">
        <v>73</v>
      </c>
      <c r="N9" s="94"/>
      <c r="O9" s="98"/>
    </row>
    <row r="10" ht="16.5" spans="1:16">
      <c r="A10" s="25">
        <v>45051</v>
      </c>
      <c r="B10" s="293">
        <f t="shared" si="2"/>
        <v>7747.66949999999</v>
      </c>
      <c r="C10" s="293">
        <f>16239.81+220.46</f>
        <v>16460.27</v>
      </c>
      <c r="D10" s="300">
        <v>220.46</v>
      </c>
      <c r="E10" s="301"/>
      <c r="F10" s="298">
        <v>15811</v>
      </c>
      <c r="G10" s="299">
        <v>931</v>
      </c>
      <c r="H10" s="302">
        <v>14880</v>
      </c>
      <c r="I10" s="336">
        <v>88.5</v>
      </c>
      <c r="J10" s="337"/>
      <c r="K10" s="331">
        <f t="shared" si="0"/>
        <v>14968.5</v>
      </c>
      <c r="L10" s="332">
        <f t="shared" si="1"/>
        <v>9018.97949999999</v>
      </c>
      <c r="M10" s="93" t="s">
        <v>92</v>
      </c>
      <c r="N10" s="96"/>
      <c r="O10" s="98"/>
      <c r="P10" s="100"/>
    </row>
    <row r="11" ht="16.5" spans="1:17">
      <c r="A11" s="25">
        <v>45052</v>
      </c>
      <c r="B11" s="293">
        <f t="shared" si="2"/>
        <v>9018.97949999999</v>
      </c>
      <c r="C11" s="293">
        <v>8405.0375</v>
      </c>
      <c r="D11" s="119"/>
      <c r="E11" s="36"/>
      <c r="F11" s="303">
        <v>11359</v>
      </c>
      <c r="G11" s="304">
        <v>715</v>
      </c>
      <c r="H11" s="304">
        <v>10644</v>
      </c>
      <c r="I11" s="338">
        <v>11.3</v>
      </c>
      <c r="J11" s="330">
        <v>83</v>
      </c>
      <c r="K11" s="331">
        <f t="shared" si="0"/>
        <v>10655.3</v>
      </c>
      <c r="L11" s="332">
        <f t="shared" si="1"/>
        <v>6768.71699999999</v>
      </c>
      <c r="M11" s="93" t="s">
        <v>73</v>
      </c>
      <c r="N11" s="96"/>
      <c r="O11" s="98"/>
      <c r="Q11" s="3"/>
    </row>
    <row r="12" ht="16.5" spans="1:15">
      <c r="A12" s="25">
        <v>45053</v>
      </c>
      <c r="B12" s="293">
        <f t="shared" si="2"/>
        <v>6768.71699999999</v>
      </c>
      <c r="C12" s="293"/>
      <c r="D12" s="305"/>
      <c r="E12" s="36"/>
      <c r="F12" s="303"/>
      <c r="G12" s="304"/>
      <c r="H12" s="304"/>
      <c r="I12" s="338"/>
      <c r="J12" s="330"/>
      <c r="K12" s="331">
        <f t="shared" si="0"/>
        <v>0</v>
      </c>
      <c r="L12" s="332">
        <f t="shared" si="1"/>
        <v>6768.71699999999</v>
      </c>
      <c r="M12" s="93"/>
      <c r="N12" s="96"/>
      <c r="O12" s="98"/>
    </row>
    <row r="13" ht="16.5" spans="1:15">
      <c r="A13" s="25">
        <v>45054</v>
      </c>
      <c r="B13" s="293">
        <f t="shared" si="2"/>
        <v>6768.71699999999</v>
      </c>
      <c r="C13" s="293">
        <f>5888.2525+7660.985</f>
        <v>13549.2375</v>
      </c>
      <c r="D13" s="33"/>
      <c r="E13" s="36"/>
      <c r="F13" s="303">
        <v>11419</v>
      </c>
      <c r="G13" s="304">
        <v>530</v>
      </c>
      <c r="H13" s="304">
        <v>10889</v>
      </c>
      <c r="I13" s="338">
        <v>112.2</v>
      </c>
      <c r="J13" s="330"/>
      <c r="K13" s="331">
        <f t="shared" si="0"/>
        <v>11001.2</v>
      </c>
      <c r="L13" s="332">
        <f t="shared" si="1"/>
        <v>9316.75449999998</v>
      </c>
      <c r="M13" s="93" t="s">
        <v>93</v>
      </c>
      <c r="N13" s="96"/>
      <c r="O13" s="98"/>
    </row>
    <row r="14" ht="16.5" spans="1:15">
      <c r="A14" s="25">
        <v>45055</v>
      </c>
      <c r="B14" s="293">
        <f t="shared" si="2"/>
        <v>9316.75449999998</v>
      </c>
      <c r="C14" s="293">
        <f>12566.22+1883.703</f>
        <v>14449.923</v>
      </c>
      <c r="D14" s="33"/>
      <c r="E14" s="36"/>
      <c r="F14" s="303">
        <v>15644</v>
      </c>
      <c r="G14" s="304">
        <v>820</v>
      </c>
      <c r="H14" s="304">
        <v>14827</v>
      </c>
      <c r="I14" s="338">
        <v>96.8</v>
      </c>
      <c r="J14" s="330"/>
      <c r="K14" s="331">
        <f t="shared" si="0"/>
        <v>14923.8</v>
      </c>
      <c r="L14" s="332">
        <f t="shared" si="1"/>
        <v>8842.87749999998</v>
      </c>
      <c r="M14" s="93" t="s">
        <v>61</v>
      </c>
      <c r="N14" s="96"/>
      <c r="O14" s="98"/>
    </row>
    <row r="15" ht="16.5" spans="1:15">
      <c r="A15" s="25">
        <v>45056</v>
      </c>
      <c r="B15" s="293">
        <f t="shared" si="2"/>
        <v>8842.87749999998</v>
      </c>
      <c r="C15" s="293">
        <v>11586.15</v>
      </c>
      <c r="D15" s="33"/>
      <c r="E15" s="36"/>
      <c r="F15" s="303">
        <v>15819</v>
      </c>
      <c r="G15" s="304">
        <v>897</v>
      </c>
      <c r="H15" s="304">
        <v>14922</v>
      </c>
      <c r="I15" s="338">
        <v>60.2</v>
      </c>
      <c r="J15" s="330">
        <v>66</v>
      </c>
      <c r="K15" s="331">
        <f t="shared" si="0"/>
        <v>14982.2</v>
      </c>
      <c r="L15" s="332">
        <f t="shared" si="1"/>
        <v>5446.82749999998</v>
      </c>
      <c r="M15" s="93" t="s">
        <v>85</v>
      </c>
      <c r="N15" s="96"/>
      <c r="O15" s="98"/>
    </row>
    <row r="16" ht="16.5" spans="1:15">
      <c r="A16" s="25">
        <v>45057</v>
      </c>
      <c r="B16" s="293">
        <f t="shared" si="2"/>
        <v>5446.82749999998</v>
      </c>
      <c r="C16" s="293">
        <f>4772.3225+50</f>
        <v>4822.3225</v>
      </c>
      <c r="D16" s="33"/>
      <c r="E16" s="36"/>
      <c r="F16" s="303">
        <v>7647</v>
      </c>
      <c r="G16" s="304">
        <v>276</v>
      </c>
      <c r="H16" s="304">
        <v>7371</v>
      </c>
      <c r="I16" s="338">
        <v>64.4</v>
      </c>
      <c r="J16" s="330"/>
      <c r="K16" s="331">
        <f t="shared" si="0"/>
        <v>7435.4</v>
      </c>
      <c r="L16" s="332">
        <f t="shared" si="1"/>
        <v>2833.74999999998</v>
      </c>
      <c r="M16" s="93" t="s">
        <v>94</v>
      </c>
      <c r="N16" s="96"/>
      <c r="O16" s="98"/>
    </row>
    <row r="17" ht="16.5" spans="1:15">
      <c r="A17" s="25">
        <v>45058</v>
      </c>
      <c r="B17" s="293">
        <f t="shared" si="2"/>
        <v>2833.74999999998</v>
      </c>
      <c r="C17" s="293">
        <v>3071.3075</v>
      </c>
      <c r="D17" s="33"/>
      <c r="E17" s="36"/>
      <c r="F17" s="303">
        <v>4774</v>
      </c>
      <c r="G17" s="304">
        <v>92</v>
      </c>
      <c r="H17" s="304">
        <v>4682</v>
      </c>
      <c r="I17" s="338">
        <v>13.3</v>
      </c>
      <c r="J17" s="330"/>
      <c r="K17" s="331">
        <f t="shared" si="0"/>
        <v>4695.3</v>
      </c>
      <c r="L17" s="332">
        <f t="shared" si="1"/>
        <v>1209.75749999998</v>
      </c>
      <c r="M17" s="93" t="s">
        <v>59</v>
      </c>
      <c r="N17" s="96"/>
      <c r="O17" s="98"/>
    </row>
    <row r="18" ht="16.5" spans="1:16">
      <c r="A18" s="25">
        <v>45059</v>
      </c>
      <c r="B18" s="293">
        <f t="shared" si="2"/>
        <v>1209.75749999998</v>
      </c>
      <c r="C18" s="293">
        <v>2039.255</v>
      </c>
      <c r="D18" s="33"/>
      <c r="E18" s="36"/>
      <c r="F18" s="303">
        <v>2118</v>
      </c>
      <c r="G18" s="304">
        <v>36</v>
      </c>
      <c r="H18" s="304">
        <v>2082</v>
      </c>
      <c r="I18" s="338">
        <v>5.1</v>
      </c>
      <c r="J18" s="330"/>
      <c r="K18" s="331">
        <f t="shared" si="0"/>
        <v>2087.1</v>
      </c>
      <c r="L18" s="332">
        <f t="shared" si="1"/>
        <v>1161.91249999998</v>
      </c>
      <c r="M18" s="93" t="s">
        <v>95</v>
      </c>
      <c r="N18" s="96"/>
      <c r="O18" s="98"/>
      <c r="P18" s="100"/>
    </row>
    <row r="19" ht="16.5" spans="1:15">
      <c r="A19" s="25">
        <v>45060</v>
      </c>
      <c r="B19" s="293">
        <f t="shared" si="2"/>
        <v>1161.91249999998</v>
      </c>
      <c r="C19" s="293"/>
      <c r="D19" s="33"/>
      <c r="E19" s="36"/>
      <c r="F19" s="303"/>
      <c r="G19" s="304"/>
      <c r="H19" s="304"/>
      <c r="I19" s="338"/>
      <c r="J19" s="330"/>
      <c r="K19" s="331">
        <f t="shared" si="0"/>
        <v>0</v>
      </c>
      <c r="L19" s="332">
        <f t="shared" si="1"/>
        <v>1161.91249999998</v>
      </c>
      <c r="M19" s="93"/>
      <c r="N19" s="96"/>
      <c r="O19" s="98"/>
    </row>
    <row r="20" ht="16.5" spans="1:15">
      <c r="A20" s="25">
        <v>45061</v>
      </c>
      <c r="B20" s="293">
        <f t="shared" si="2"/>
        <v>1161.91249999998</v>
      </c>
      <c r="C20" s="293">
        <v>5208.3675</v>
      </c>
      <c r="D20" s="33"/>
      <c r="E20" s="36"/>
      <c r="F20" s="303">
        <v>4605</v>
      </c>
      <c r="G20" s="304">
        <v>73</v>
      </c>
      <c r="H20" s="304">
        <v>4532</v>
      </c>
      <c r="I20" s="338">
        <v>15.7</v>
      </c>
      <c r="J20" s="330"/>
      <c r="K20" s="331">
        <f t="shared" si="0"/>
        <v>4547.7</v>
      </c>
      <c r="L20" s="332">
        <f t="shared" si="1"/>
        <v>1822.57999999998</v>
      </c>
      <c r="M20" s="93" t="s">
        <v>96</v>
      </c>
      <c r="N20" s="96"/>
      <c r="O20" s="98"/>
    </row>
    <row r="21" ht="16.5" spans="1:15">
      <c r="A21" s="25">
        <v>45062</v>
      </c>
      <c r="B21" s="293">
        <f t="shared" si="2"/>
        <v>1822.57999999998</v>
      </c>
      <c r="C21" s="293">
        <v>4050.9525</v>
      </c>
      <c r="D21" s="33"/>
      <c r="E21" s="36"/>
      <c r="F21" s="303">
        <v>5002</v>
      </c>
      <c r="G21" s="304">
        <v>87</v>
      </c>
      <c r="H21" s="304">
        <v>4915</v>
      </c>
      <c r="I21" s="338">
        <v>24.5</v>
      </c>
      <c r="J21" s="330"/>
      <c r="K21" s="331">
        <f t="shared" si="0"/>
        <v>4939.5</v>
      </c>
      <c r="L21" s="332">
        <f t="shared" si="1"/>
        <v>934.032499999983</v>
      </c>
      <c r="M21" s="93" t="s">
        <v>96</v>
      </c>
      <c r="N21" s="96"/>
      <c r="O21" s="98"/>
    </row>
    <row r="22" ht="16.5" spans="1:15">
      <c r="A22" s="25">
        <v>45063</v>
      </c>
      <c r="B22" s="293">
        <f t="shared" si="2"/>
        <v>934.032499999983</v>
      </c>
      <c r="C22" s="293">
        <v>7628.915</v>
      </c>
      <c r="D22" s="33"/>
      <c r="E22" s="36"/>
      <c r="F22" s="303">
        <v>6507</v>
      </c>
      <c r="G22" s="304">
        <v>131</v>
      </c>
      <c r="H22" s="304">
        <v>6376</v>
      </c>
      <c r="I22" s="338">
        <v>45.7</v>
      </c>
      <c r="J22" s="330"/>
      <c r="K22" s="331">
        <f t="shared" si="0"/>
        <v>6421.7</v>
      </c>
      <c r="L22" s="332">
        <f t="shared" si="1"/>
        <v>2141.24749999998</v>
      </c>
      <c r="M22" s="93" t="s">
        <v>97</v>
      </c>
      <c r="N22" s="96"/>
      <c r="O22" s="98"/>
    </row>
    <row r="23" ht="16.5" spans="1:15">
      <c r="A23" s="25">
        <v>45064</v>
      </c>
      <c r="B23" s="293">
        <f t="shared" si="2"/>
        <v>2141.24749999998</v>
      </c>
      <c r="C23" s="293">
        <f>1736.3225+30+23.8</f>
        <v>1790.1225</v>
      </c>
      <c r="D23" s="33"/>
      <c r="E23" s="33"/>
      <c r="F23" s="303">
        <v>3354</v>
      </c>
      <c r="G23" s="304">
        <v>66</v>
      </c>
      <c r="H23" s="304">
        <v>3288</v>
      </c>
      <c r="I23" s="338">
        <v>75</v>
      </c>
      <c r="J23" s="330"/>
      <c r="K23" s="331">
        <f t="shared" si="0"/>
        <v>3363</v>
      </c>
      <c r="L23" s="332">
        <f t="shared" si="1"/>
        <v>568.369999999984</v>
      </c>
      <c r="M23" s="93" t="s">
        <v>98</v>
      </c>
      <c r="N23" s="101"/>
      <c r="O23" s="98"/>
    </row>
    <row r="24" ht="16.5" spans="1:15">
      <c r="A24" s="25">
        <v>45065</v>
      </c>
      <c r="B24" s="293">
        <f t="shared" si="2"/>
        <v>568.369999999984</v>
      </c>
      <c r="C24" s="293">
        <f>15374.4125-824.0525</f>
        <v>14550.36</v>
      </c>
      <c r="D24" s="33"/>
      <c r="E24" s="36"/>
      <c r="F24" s="303">
        <v>15132</v>
      </c>
      <c r="G24" s="304">
        <v>569</v>
      </c>
      <c r="H24" s="304">
        <v>14563</v>
      </c>
      <c r="I24" s="338">
        <v>92.3</v>
      </c>
      <c r="J24" s="330">
        <v>68</v>
      </c>
      <c r="K24" s="331">
        <f t="shared" si="0"/>
        <v>14655.3</v>
      </c>
      <c r="L24" s="332">
        <f t="shared" si="1"/>
        <v>463.429999999986</v>
      </c>
      <c r="M24" s="93" t="s">
        <v>73</v>
      </c>
      <c r="N24" s="96"/>
      <c r="O24" s="98"/>
    </row>
    <row r="25" ht="16.5" spans="1:15">
      <c r="A25" s="25">
        <v>45066</v>
      </c>
      <c r="B25" s="293">
        <f t="shared" si="2"/>
        <v>463.429999999986</v>
      </c>
      <c r="C25" s="293">
        <v>11285.7875</v>
      </c>
      <c r="D25" s="33"/>
      <c r="E25" s="36"/>
      <c r="F25" s="303">
        <v>11174</v>
      </c>
      <c r="G25" s="304">
        <v>437</v>
      </c>
      <c r="H25" s="304">
        <v>10737</v>
      </c>
      <c r="I25" s="338"/>
      <c r="J25" s="330"/>
      <c r="K25" s="331">
        <f t="shared" si="0"/>
        <v>10737</v>
      </c>
      <c r="L25" s="332">
        <f t="shared" si="1"/>
        <v>1012.21749999999</v>
      </c>
      <c r="M25" s="93" t="s">
        <v>73</v>
      </c>
      <c r="N25" s="96"/>
      <c r="O25" s="98"/>
    </row>
    <row r="26" ht="16.5" spans="1:15">
      <c r="A26" s="25">
        <v>45067</v>
      </c>
      <c r="B26" s="293">
        <f t="shared" si="2"/>
        <v>1012.21749999999</v>
      </c>
      <c r="C26" s="293"/>
      <c r="D26" s="33"/>
      <c r="E26" s="36"/>
      <c r="F26" s="303"/>
      <c r="G26" s="304"/>
      <c r="H26" s="304"/>
      <c r="I26" s="338"/>
      <c r="J26" s="330"/>
      <c r="K26" s="331">
        <f t="shared" si="0"/>
        <v>0</v>
      </c>
      <c r="L26" s="332">
        <f t="shared" si="1"/>
        <v>1012.21749999999</v>
      </c>
      <c r="M26" s="93"/>
      <c r="N26" s="96"/>
      <c r="O26" s="98"/>
    </row>
    <row r="27" ht="16.5" spans="1:16">
      <c r="A27" s="25">
        <v>45068</v>
      </c>
      <c r="B27" s="293">
        <f t="shared" si="2"/>
        <v>1012.21749999999</v>
      </c>
      <c r="C27" s="293">
        <v>16066.0225</v>
      </c>
      <c r="D27" s="33"/>
      <c r="E27" s="306">
        <v>15.4</v>
      </c>
      <c r="F27" s="303">
        <v>10746</v>
      </c>
      <c r="G27" s="304">
        <v>457</v>
      </c>
      <c r="H27" s="304">
        <v>10289</v>
      </c>
      <c r="I27" s="338">
        <v>107.9</v>
      </c>
      <c r="J27" s="330"/>
      <c r="K27" s="331">
        <f t="shared" si="0"/>
        <v>10396.9</v>
      </c>
      <c r="L27" s="332">
        <f t="shared" si="1"/>
        <v>6665.93999999998</v>
      </c>
      <c r="M27" s="93" t="s">
        <v>62</v>
      </c>
      <c r="N27" s="96"/>
      <c r="O27" s="98"/>
      <c r="P27" s="100"/>
    </row>
    <row r="28" ht="16.5" spans="1:15">
      <c r="A28" s="25">
        <v>45069</v>
      </c>
      <c r="B28" s="293">
        <f t="shared" si="2"/>
        <v>6665.93999999998</v>
      </c>
      <c r="C28" s="293">
        <v>9237.5325</v>
      </c>
      <c r="D28" s="33"/>
      <c r="E28" s="36"/>
      <c r="F28" s="303">
        <v>13330</v>
      </c>
      <c r="G28" s="304">
        <v>796</v>
      </c>
      <c r="H28" s="304">
        <v>12534</v>
      </c>
      <c r="I28" s="339">
        <v>10.5</v>
      </c>
      <c r="J28" s="330">
        <v>79</v>
      </c>
      <c r="K28" s="331">
        <f t="shared" si="0"/>
        <v>12544.5</v>
      </c>
      <c r="L28" s="332">
        <f t="shared" si="1"/>
        <v>3358.97249999998</v>
      </c>
      <c r="M28" s="93" t="s">
        <v>99</v>
      </c>
      <c r="N28" s="96"/>
      <c r="O28" s="98"/>
    </row>
    <row r="29" ht="16.5" spans="1:15">
      <c r="A29" s="25">
        <v>45070</v>
      </c>
      <c r="B29" s="293">
        <f t="shared" si="2"/>
        <v>3358.97249999998</v>
      </c>
      <c r="C29" s="293">
        <v>15349.5275</v>
      </c>
      <c r="D29" s="33"/>
      <c r="E29" s="36"/>
      <c r="F29" s="303">
        <v>13024</v>
      </c>
      <c r="G29" s="304">
        <v>762</v>
      </c>
      <c r="H29" s="304">
        <v>12262</v>
      </c>
      <c r="I29" s="338">
        <v>52</v>
      </c>
      <c r="J29" s="330">
        <v>72</v>
      </c>
      <c r="K29" s="331">
        <f t="shared" si="0"/>
        <v>12314</v>
      </c>
      <c r="L29" s="332">
        <f t="shared" si="1"/>
        <v>6394.49999999998</v>
      </c>
      <c r="M29" s="93" t="s">
        <v>100</v>
      </c>
      <c r="N29" s="96"/>
      <c r="O29" s="98"/>
    </row>
    <row r="30" ht="16.5" spans="1:15">
      <c r="A30" s="25">
        <v>45071</v>
      </c>
      <c r="B30" s="293">
        <f t="shared" si="2"/>
        <v>6394.49999999998</v>
      </c>
      <c r="C30" s="293">
        <v>5511.5</v>
      </c>
      <c r="D30" s="32"/>
      <c r="E30" s="39"/>
      <c r="F30" s="307">
        <v>10280</v>
      </c>
      <c r="G30" s="296">
        <v>562</v>
      </c>
      <c r="H30" s="296">
        <v>9718</v>
      </c>
      <c r="I30" s="340">
        <v>18.3</v>
      </c>
      <c r="J30" s="330"/>
      <c r="K30" s="331">
        <f t="shared" si="0"/>
        <v>9736.3</v>
      </c>
      <c r="L30" s="332">
        <f t="shared" si="1"/>
        <v>2169.69999999998</v>
      </c>
      <c r="M30" s="93" t="s">
        <v>101</v>
      </c>
      <c r="N30" s="96"/>
      <c r="O30" s="98"/>
    </row>
    <row r="31" ht="16.5" spans="1:15">
      <c r="A31" s="25">
        <v>45072</v>
      </c>
      <c r="B31" s="293">
        <f t="shared" si="2"/>
        <v>2169.69999999998</v>
      </c>
      <c r="C31" s="308">
        <v>2364.715</v>
      </c>
      <c r="D31" s="32"/>
      <c r="E31" s="39"/>
      <c r="F31" s="307">
        <v>4304</v>
      </c>
      <c r="G31" s="296">
        <v>124</v>
      </c>
      <c r="H31" s="296">
        <v>4180</v>
      </c>
      <c r="I31" s="340">
        <f>35+300</f>
        <v>335</v>
      </c>
      <c r="J31" s="330">
        <v>64</v>
      </c>
      <c r="K31" s="331">
        <f t="shared" si="0"/>
        <v>4515</v>
      </c>
      <c r="L31" s="332">
        <f t="shared" si="1"/>
        <v>19.4149999999827</v>
      </c>
      <c r="M31" s="93" t="s">
        <v>102</v>
      </c>
      <c r="N31" s="96"/>
      <c r="O31" s="98"/>
    </row>
    <row r="32" ht="16.5" spans="1:15">
      <c r="A32" s="25">
        <v>45073</v>
      </c>
      <c r="B32" s="293">
        <f t="shared" si="2"/>
        <v>19.4149999999827</v>
      </c>
      <c r="C32" s="308">
        <v>1157.415</v>
      </c>
      <c r="D32" s="32"/>
      <c r="E32" s="39"/>
      <c r="F32" s="307">
        <v>1171</v>
      </c>
      <c r="G32" s="296">
        <v>23</v>
      </c>
      <c r="H32" s="296">
        <v>1148</v>
      </c>
      <c r="I32" s="340">
        <v>6.4</v>
      </c>
      <c r="J32" s="330"/>
      <c r="K32" s="331">
        <f t="shared" si="0"/>
        <v>1154.4</v>
      </c>
      <c r="L32" s="332">
        <f t="shared" si="1"/>
        <v>22.4299999999826</v>
      </c>
      <c r="M32" s="93" t="s">
        <v>103</v>
      </c>
      <c r="N32" s="96"/>
      <c r="O32" s="98"/>
    </row>
    <row r="33" ht="16.5" spans="1:16">
      <c r="A33" s="25">
        <v>45074</v>
      </c>
      <c r="B33" s="293">
        <f t="shared" si="2"/>
        <v>22.4299999999826</v>
      </c>
      <c r="C33" s="308"/>
      <c r="D33" s="32"/>
      <c r="E33" s="39"/>
      <c r="F33" s="307"/>
      <c r="G33" s="296"/>
      <c r="H33" s="296"/>
      <c r="I33" s="340"/>
      <c r="J33" s="330"/>
      <c r="K33" s="331">
        <f t="shared" si="0"/>
        <v>0</v>
      </c>
      <c r="L33" s="332">
        <f t="shared" si="1"/>
        <v>22.4299999999826</v>
      </c>
      <c r="M33" s="93"/>
      <c r="N33" s="96"/>
      <c r="O33" s="98"/>
      <c r="P33" s="100"/>
    </row>
    <row r="34" s="1" customFormat="1" ht="16.5" spans="1:15">
      <c r="A34" s="25">
        <v>45075</v>
      </c>
      <c r="B34" s="293">
        <f t="shared" si="2"/>
        <v>22.4299999999826</v>
      </c>
      <c r="C34" s="308">
        <f>2810.865+2810.865</f>
        <v>5621.73</v>
      </c>
      <c r="D34" s="32"/>
      <c r="E34" s="39"/>
      <c r="F34" s="307">
        <v>4149</v>
      </c>
      <c r="G34" s="296">
        <v>66</v>
      </c>
      <c r="H34" s="296">
        <v>4083</v>
      </c>
      <c r="I34" s="340">
        <v>26.2</v>
      </c>
      <c r="J34" s="330"/>
      <c r="K34" s="331">
        <f t="shared" si="0"/>
        <v>4109.2</v>
      </c>
      <c r="L34" s="332">
        <f t="shared" si="1"/>
        <v>1534.95999999998</v>
      </c>
      <c r="M34" s="93" t="s">
        <v>96</v>
      </c>
      <c r="N34" s="96"/>
      <c r="O34" s="102"/>
    </row>
    <row r="35" ht="16.5" spans="1:15">
      <c r="A35" s="25">
        <v>45076</v>
      </c>
      <c r="B35" s="293">
        <f t="shared" si="2"/>
        <v>1534.95999999998</v>
      </c>
      <c r="C35" s="308">
        <v>3882.475</v>
      </c>
      <c r="D35" s="32">
        <v>81.6</v>
      </c>
      <c r="E35" s="39"/>
      <c r="F35" s="307">
        <v>5061</v>
      </c>
      <c r="G35" s="296">
        <v>84</v>
      </c>
      <c r="H35" s="296">
        <v>4977</v>
      </c>
      <c r="I35" s="329"/>
      <c r="J35" s="330"/>
      <c r="K35" s="331">
        <f t="shared" si="0"/>
        <v>4977</v>
      </c>
      <c r="L35" s="332">
        <f t="shared" si="1"/>
        <v>358.834999999981</v>
      </c>
      <c r="M35" s="93" t="s">
        <v>96</v>
      </c>
      <c r="N35" s="96"/>
      <c r="O35" s="98"/>
    </row>
    <row r="36" ht="18" customHeight="1" spans="1:15">
      <c r="A36" s="25">
        <v>45077</v>
      </c>
      <c r="B36" s="293">
        <f t="shared" si="2"/>
        <v>358.834999999981</v>
      </c>
      <c r="C36" s="309">
        <v>1322.76</v>
      </c>
      <c r="D36" s="27"/>
      <c r="E36" s="27"/>
      <c r="F36" s="294">
        <v>1759</v>
      </c>
      <c r="G36" s="295">
        <v>33</v>
      </c>
      <c r="H36" s="296">
        <v>1726</v>
      </c>
      <c r="I36" s="329">
        <v>17</v>
      </c>
      <c r="J36" s="341"/>
      <c r="K36" s="331">
        <f t="shared" si="0"/>
        <v>1743</v>
      </c>
      <c r="L36" s="342">
        <f t="shared" ref="L36" si="3">B36+C36-D36-E36-K36</f>
        <v>-61.4050000000191</v>
      </c>
      <c r="M36" s="104" t="s">
        <v>96</v>
      </c>
      <c r="N36" s="96"/>
      <c r="O36" s="105"/>
    </row>
    <row r="37" ht="15" spans="1:15">
      <c r="A37" s="43"/>
      <c r="B37" s="310"/>
      <c r="C37" s="311">
        <f t="shared" ref="C37:K37" si="4">SUM(C5:C36)</f>
        <v>197305.438</v>
      </c>
      <c r="D37" s="46">
        <f t="shared" si="4"/>
        <v>302.06</v>
      </c>
      <c r="E37" s="47">
        <f t="shared" si="4"/>
        <v>15.4</v>
      </c>
      <c r="F37" s="312">
        <f t="shared" si="4"/>
        <v>206096</v>
      </c>
      <c r="G37" s="313">
        <f t="shared" si="4"/>
        <v>9108</v>
      </c>
      <c r="H37" s="314">
        <f t="shared" si="4"/>
        <v>196991</v>
      </c>
      <c r="I37" s="313">
        <f t="shared" si="4"/>
        <v>1556.1</v>
      </c>
      <c r="J37" s="313"/>
      <c r="K37" s="343">
        <f t="shared" si="4"/>
        <v>198547.1</v>
      </c>
      <c r="L37" s="344">
        <f>SUM(B5+C37-D37-E37-K37)</f>
        <v>-61.4049999999697</v>
      </c>
      <c r="M37" s="345"/>
      <c r="N37" s="108"/>
      <c r="O37" s="109"/>
    </row>
    <row r="39" ht="17.25" spans="1:12">
      <c r="A39" s="50" t="s">
        <v>20</v>
      </c>
      <c r="B39" s="51"/>
      <c r="C39" s="52" t="s">
        <v>21</v>
      </c>
      <c r="D39" s="53" t="s">
        <v>22</v>
      </c>
      <c r="E39" s="3"/>
      <c r="F39" s="3"/>
      <c r="G39" s="3"/>
      <c r="H39" s="50" t="s">
        <v>23</v>
      </c>
      <c r="I39" s="59" t="s">
        <v>24</v>
      </c>
      <c r="J39" s="3"/>
      <c r="K39" s="346" t="s">
        <v>25</v>
      </c>
      <c r="L39" s="3"/>
    </row>
    <row r="40" ht="15" spans="11:13">
      <c r="K40" s="347" t="s">
        <v>104</v>
      </c>
      <c r="L40" s="111">
        <f>L37</f>
        <v>-61.4049999999697</v>
      </c>
      <c r="M40" s="348" t="s">
        <v>27</v>
      </c>
    </row>
    <row r="41" spans="12:13">
      <c r="L41" s="349"/>
      <c r="M41" s="350"/>
    </row>
    <row r="42" ht="15" spans="2:12">
      <c r="B42" s="100"/>
      <c r="K42" s="351" t="s">
        <v>28</v>
      </c>
      <c r="L42" s="115"/>
    </row>
    <row r="43" spans="1:6">
      <c r="A43" s="55" t="s">
        <v>29</v>
      </c>
      <c r="B43" s="56" t="s">
        <v>30</v>
      </c>
      <c r="C43" s="57">
        <v>26</v>
      </c>
      <c r="D43" s="58"/>
      <c r="E43" s="3"/>
      <c r="F43" s="3"/>
    </row>
    <row r="44" spans="1:6">
      <c r="A44" s="59" t="s">
        <v>31</v>
      </c>
      <c r="B44" s="60" t="s">
        <v>32</v>
      </c>
      <c r="C44" s="61">
        <f>(C37+B5)/C43</f>
        <v>7646.27519230769</v>
      </c>
      <c r="D44" s="58"/>
      <c r="E44" s="3"/>
      <c r="F44" s="3"/>
    </row>
    <row r="45" spans="1:6">
      <c r="A45" s="59" t="s">
        <v>33</v>
      </c>
      <c r="B45" s="60" t="s">
        <v>34</v>
      </c>
      <c r="C45" s="61">
        <f>(B5+C37-D37)/C43</f>
        <v>7634.6575</v>
      </c>
      <c r="D45" s="58"/>
      <c r="E45" s="3"/>
      <c r="F45" s="3"/>
    </row>
    <row r="46" ht="15" spans="1:9">
      <c r="A46" s="59" t="s">
        <v>23</v>
      </c>
      <c r="B46" s="60" t="s">
        <v>35</v>
      </c>
      <c r="C46" s="61">
        <f>H37/C43</f>
        <v>7576.57692307692</v>
      </c>
      <c r="D46" s="62" t="s">
        <v>36</v>
      </c>
      <c r="E46" s="62"/>
      <c r="F46" s="63"/>
      <c r="G46" s="64"/>
      <c r="H46" s="3" t="s">
        <v>37</v>
      </c>
      <c r="I46" s="3"/>
    </row>
    <row r="47" ht="17.25" spans="1:6">
      <c r="A47" s="59" t="s">
        <v>25</v>
      </c>
      <c r="B47" s="60" t="s">
        <v>38</v>
      </c>
      <c r="C47" s="61">
        <f>(K37)/C43</f>
        <v>7636.42692307692</v>
      </c>
      <c r="D47" s="65" t="s">
        <v>39</v>
      </c>
      <c r="E47" s="66">
        <f>(C45-C47)</f>
        <v>-1.76942307692207</v>
      </c>
      <c r="F47" s="67"/>
    </row>
    <row r="48" ht="17.25" spans="1:6">
      <c r="A48" s="59" t="s">
        <v>24</v>
      </c>
      <c r="B48" s="68" t="s">
        <v>40</v>
      </c>
      <c r="C48" s="69">
        <f>(I37/H37)</f>
        <v>0.00789934565538527</v>
      </c>
      <c r="D48" s="70" t="s">
        <v>39</v>
      </c>
      <c r="E48" s="71">
        <f>E47/C45</f>
        <v>-0.000231761945695935</v>
      </c>
      <c r="F48" s="3"/>
    </row>
    <row r="49" spans="2:6">
      <c r="B49" s="3"/>
      <c r="C49" s="3"/>
      <c r="D49" s="58"/>
      <c r="E49" s="3"/>
      <c r="F49" s="3"/>
    </row>
  </sheetData>
  <mergeCells count="12">
    <mergeCell ref="A1:O1"/>
    <mergeCell ref="F3:I3"/>
    <mergeCell ref="A3:A4"/>
    <mergeCell ref="B3:B4"/>
    <mergeCell ref="C3:C4"/>
    <mergeCell ref="D3:D4"/>
    <mergeCell ref="E3:E4"/>
    <mergeCell ref="K3:K4"/>
    <mergeCell ref="L3:L4"/>
    <mergeCell ref="M3:M4"/>
    <mergeCell ref="N3:N4"/>
    <mergeCell ref="O3:O5"/>
  </mergeCells>
  <pageMargins left="0" right="0" top="0" bottom="0" header="0.314583333333333" footer="0.314583333333333"/>
  <pageSetup paperSize="9" scale="70" orientation="landscape" horizontalDpi="6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8 " > < c o m m e n t   s : r e f = " I 9 "   r g b C l r = " 4 0 C A 8 8 " / > < c o m m e n t   s : r e f = " J 9 "   r g b C l r = " 4 0 C A 8 8 " / > < / c o m m e n t L i s t > < c o m m e n t L i s t   s h e e t S t i d = " 2 7 " > < c o m m e n t   s : r e f = " D 1 6 "   r g b C l r = " 4 6 C 7 3 4 " / > < / c o m m e n t L i s t > < c o m m e n t L i s t   s h e e t S t i d = " 2 6 " > < c o m m e n t   s : r e f = " N 1 2 "   r g b C l r = " 1 6 C B 0 0 " / > < / c o m m e n t L i s t > < c o m m e n t L i s t   s h e e t S t i d = " 2 5 " > < c o m m e n t   s : r e f = " N 1 5 "   r g b C l r = " 2 4 C 9 2 8 " / > < c o m m e n t   s : r e f = " C 1 9 "   r g b C l r = " 1 7 C 9 2 0 " / > < c o m m e n t   s : r e f = " I 2 4 "   r g b C l r = " 3 7 C 3 D 4 " / > < / c o m m e n t L i s t > < c o m m e n t L i s t   s h e e t S t i d = " 2 4 " /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Sheet1</vt:lpstr>
      <vt:lpstr>12月  </vt:lpstr>
      <vt:lpstr>11月</vt:lpstr>
      <vt:lpstr>10月 </vt:lpstr>
      <vt:lpstr>9月</vt:lpstr>
      <vt:lpstr>8月 </vt:lpstr>
      <vt:lpstr>7月</vt:lpstr>
      <vt:lpstr>6月</vt:lpstr>
      <vt:lpstr>5月</vt:lpstr>
      <vt:lpstr>4月</vt:lpstr>
      <vt:lpstr>3月</vt:lpstr>
      <vt:lpstr>2月</vt:lpstr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2006-09-13T11:24:00Z</dcterms:created>
  <dcterms:modified xsi:type="dcterms:W3CDTF">2023-07-26T02:00:32Z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11263BA6B0ED428381D6DD0F23BF0AE3</vt:lpwstr>
  </property>
  <property fmtid="{D5CDD505-2E9C-101B-9397-08002B2CF9AE}" pid="3" name="KSOProductBuildVer">
    <vt:lpwstr>2052-11.1.0.14309</vt:lpwstr>
  </property>
  <property fmtid="{D5CDD505-2E9C-101B-9397-08002B2CF9AE}" pid="4" name="commondata">
    <vt:lpwstr>eyJoZGlkIjoiMjg1ZGYzNzZhYTEyZWU2NTdiNGFlNjEwZmZiYjcyM2UifQ==</vt:lpwstr>
  </property>
</Properties>
</file>